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67" documentId="13_ncr:1_{7FB247D8-B11A-4C0A-A73A-F5160EFBD68A}" xr6:coauthVersionLast="47" xr6:coauthVersionMax="47" xr10:uidLastSave="{BCBD152F-4340-4AE3-9A9B-E857D766E708}"/>
  <bookViews>
    <workbookView xWindow="-28920" yWindow="-165" windowWidth="29040" windowHeight="15720" tabRatio="636" activeTab="1" xr2:uid="{00000000-000D-0000-FFFF-FFFF00000000}"/>
  </bookViews>
  <sheets>
    <sheet name="Sqarime" sheetId="22" r:id="rId1"/>
    <sheet name="Ne.Organike" sheetId="16" r:id="rId2"/>
    <sheet name="Mbi.Organike" sheetId="18" r:id="rId3"/>
    <sheet name="Liste Pagesa" sheetId="12" r:id="rId4"/>
    <sheet name="INFO_pagat" sheetId="19" r:id="rId5"/>
    <sheet name="definicione" sheetId="13" r:id="rId6"/>
    <sheet name="Skemat e Pagave" sheetId="20" r:id="rId7"/>
    <sheet name="# tatimet" sheetId="25" r:id="rId8"/>
    <sheet name="# vjetersia" sheetId="24" r:id="rId9"/>
  </sheets>
  <definedNames>
    <definedName name="_xlnm._FilterDatabase" localSheetId="3" hidden="1">INFO_pagat!$B$9:$F$137</definedName>
    <definedName name="_xlnm._FilterDatabase" localSheetId="2" hidden="1">Mbi.Organike!$B$7:$B$9</definedName>
    <definedName name="_xlnm._FilterDatabase" localSheetId="1" hidden="1">Ne.Organike!$B$7:$B$93</definedName>
    <definedName name="_xlnm._FilterDatabase" localSheetId="6" hidden="1">'Skemat e Pagave'!$C$11:$C$46</definedName>
    <definedName name="banka_mbi_organike" localSheetId="2">Mbi.Organike!$D$10:$D$30</definedName>
    <definedName name="banka_ne_organike">Ne.Organike!$D$10:$D$114</definedName>
    <definedName name="emer_mbiemer" localSheetId="2">Mbi.Organike!$B$10:$B$30</definedName>
    <definedName name="emer_mbiemer">Ne.Organike!$B$10:$B$114</definedName>
    <definedName name="Info_per_Bankat">INFO_pagat!$B:$F</definedName>
    <definedName name="lista_e_bankave">definicione!$K$2:$K$15</definedName>
    <definedName name="llog_mbi_organike">Mbi.Organike!$B$10:$AY$30</definedName>
    <definedName name="llog_organike">Ne.Organike!$B$10:$AY$114</definedName>
    <definedName name="max_s_shoqeror">definicione!$C$6</definedName>
    <definedName name="min_s_shoqeror">definicione!$C$5</definedName>
    <definedName name="paga_200mije">definicione!$C$15</definedName>
    <definedName name="paga_30mije">definicione!$C$12</definedName>
    <definedName name="paga_35mije">definicione!$C$8</definedName>
    <definedName name="paga_50mije">definicione!$C$7</definedName>
    <definedName name="paga_60mije">definicione!$C$10</definedName>
    <definedName name="paga_e_presidentit">definicione!$C$19</definedName>
    <definedName name="raport_mjekesor">definicione!$C$2</definedName>
    <definedName name="s_shendetsor">definicione!$C$3</definedName>
    <definedName name="s_shoqeror">definicione!$C$4</definedName>
    <definedName name="tatimi_13">definicione!$C$11</definedName>
    <definedName name="tatimi_23">definicione!$C$14</definedName>
    <definedName name="tatimi_6.5">definicione!$C$9</definedName>
    <definedName name="tatimi_fiks_deri200mije">definicione!$C$16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107" i="16" l="1"/>
  <c r="AR106" i="16"/>
  <c r="AR105" i="16"/>
  <c r="AR104" i="16"/>
  <c r="AR103" i="16"/>
  <c r="AR102" i="16"/>
  <c r="AR101" i="16"/>
  <c r="AR100" i="16"/>
  <c r="AR99" i="16"/>
  <c r="AR97" i="16"/>
  <c r="AR96" i="16"/>
  <c r="AR95" i="16"/>
  <c r="AR94" i="16"/>
  <c r="AR93" i="16"/>
  <c r="AR92" i="16"/>
  <c r="AR91" i="16"/>
  <c r="AR90" i="16"/>
  <c r="AR89" i="16"/>
  <c r="AR88" i="16"/>
  <c r="AR87" i="16"/>
  <c r="AR86" i="16"/>
  <c r="AR85" i="16"/>
  <c r="AR84" i="16"/>
  <c r="AR83" i="16"/>
  <c r="AR82" i="16"/>
  <c r="AR81" i="16"/>
  <c r="AR80" i="16"/>
  <c r="AR79" i="16"/>
  <c r="AR77" i="16"/>
  <c r="AR76" i="16"/>
  <c r="AR75" i="16"/>
  <c r="AR74" i="16"/>
  <c r="AR73" i="16"/>
  <c r="AR72" i="16"/>
  <c r="AR71" i="16"/>
  <c r="AR70" i="16"/>
  <c r="AR69" i="16"/>
  <c r="AR68" i="16"/>
  <c r="AR67" i="16"/>
  <c r="AR66" i="16"/>
  <c r="AR65" i="16"/>
  <c r="AR64" i="16"/>
  <c r="AR63" i="16"/>
  <c r="AR62" i="16"/>
  <c r="AR61" i="16"/>
  <c r="AR60" i="16"/>
  <c r="AR59" i="16"/>
  <c r="AR58" i="16"/>
  <c r="AR57" i="16"/>
  <c r="AR56" i="16"/>
  <c r="AR55" i="16"/>
  <c r="AR54" i="16"/>
  <c r="AR53" i="16"/>
  <c r="AR52" i="16"/>
  <c r="AR51" i="16"/>
  <c r="AR50" i="16"/>
  <c r="AR49" i="16"/>
  <c r="AR48" i="16"/>
  <c r="AR41" i="16"/>
  <c r="AR40" i="16"/>
  <c r="AR39" i="16"/>
  <c r="AR38" i="16"/>
  <c r="AR37" i="16"/>
  <c r="AR36" i="16"/>
  <c r="AR35" i="16"/>
  <c r="AR34" i="16"/>
  <c r="AR33" i="16"/>
  <c r="AR31" i="16"/>
  <c r="AR30" i="16"/>
  <c r="AR29" i="16"/>
  <c r="AR28" i="16"/>
  <c r="AR27" i="16"/>
  <c r="AR26" i="16"/>
  <c r="AR25" i="16"/>
  <c r="AR24" i="16"/>
  <c r="AR23" i="16"/>
  <c r="AR22" i="16"/>
  <c r="AR21" i="16"/>
  <c r="AR20" i="16"/>
  <c r="AR19" i="16"/>
  <c r="AR18" i="16"/>
  <c r="AR17" i="16"/>
  <c r="AR16" i="16"/>
  <c r="AR15" i="16"/>
  <c r="AR14" i="16"/>
  <c r="AR13" i="16"/>
  <c r="AR12" i="16"/>
  <c r="AR11" i="16"/>
  <c r="AR29" i="18"/>
  <c r="AR28" i="18"/>
  <c r="AR27" i="18"/>
  <c r="AR26" i="18"/>
  <c r="AR25" i="18"/>
  <c r="AR24" i="18"/>
  <c r="AR23" i="18"/>
  <c r="AR22" i="18"/>
  <c r="AR21" i="18"/>
  <c r="AR20" i="18"/>
  <c r="AR19" i="18"/>
  <c r="AR18" i="18"/>
  <c r="AR17" i="18"/>
  <c r="AR16" i="18"/>
  <c r="AR15" i="18"/>
  <c r="AR14" i="18"/>
  <c r="AR13" i="18"/>
  <c r="AR12" i="18"/>
  <c r="AR11" i="18"/>
  <c r="AB36" i="16"/>
  <c r="AB37" i="16"/>
  <c r="AB38" i="16"/>
  <c r="AB39" i="16"/>
  <c r="AB40" i="16"/>
  <c r="AB41" i="16"/>
  <c r="AB42" i="16"/>
  <c r="AB43" i="16"/>
  <c r="AB44" i="16"/>
  <c r="AB45" i="16"/>
  <c r="AB46" i="16"/>
  <c r="X35" i="16"/>
  <c r="X36" i="16"/>
  <c r="X37" i="16"/>
  <c r="X38" i="16"/>
  <c r="X39" i="16"/>
  <c r="X40" i="16"/>
  <c r="X41" i="16"/>
  <c r="X42" i="16"/>
  <c r="X43" i="16"/>
  <c r="X44" i="16"/>
  <c r="X45" i="16"/>
  <c r="X46" i="16"/>
  <c r="Z37" i="16"/>
  <c r="Z38" i="16"/>
  <c r="Z39" i="16"/>
  <c r="Z40" i="16"/>
  <c r="Z41" i="16"/>
  <c r="Z42" i="16"/>
  <c r="Z43" i="16"/>
  <c r="Z44" i="16"/>
  <c r="Z45" i="16"/>
  <c r="Z46" i="16"/>
  <c r="Z35" i="16"/>
  <c r="Z36" i="16"/>
  <c r="V37" i="16"/>
  <c r="V38" i="16"/>
  <c r="V39" i="16"/>
  <c r="V40" i="16"/>
  <c r="V41" i="16"/>
  <c r="V42" i="16"/>
  <c r="V43" i="16"/>
  <c r="V44" i="16"/>
  <c r="V45" i="16"/>
  <c r="V46" i="16"/>
  <c r="V35" i="16"/>
  <c r="V36" i="16"/>
  <c r="AO29" i="18"/>
  <c r="AO28" i="18"/>
  <c r="AO27" i="18"/>
  <c r="AO26" i="18"/>
  <c r="AO25" i="18"/>
  <c r="AO24" i="18"/>
  <c r="AO23" i="18"/>
  <c r="AO22" i="18"/>
  <c r="AO21" i="18"/>
  <c r="AO20" i="18"/>
  <c r="AO19" i="18"/>
  <c r="AO18" i="18"/>
  <c r="AO17" i="18"/>
  <c r="AO16" i="18"/>
  <c r="AO15" i="18"/>
  <c r="AO14" i="18"/>
  <c r="AO13" i="18"/>
  <c r="AO12" i="18"/>
  <c r="AO11" i="18"/>
  <c r="AO10" i="18"/>
  <c r="AO107" i="16"/>
  <c r="AO106" i="16"/>
  <c r="AO105" i="16"/>
  <c r="AO104" i="16"/>
  <c r="AO103" i="16"/>
  <c r="AO102" i="16"/>
  <c r="AO101" i="16"/>
  <c r="AO100" i="16"/>
  <c r="AO99" i="16"/>
  <c r="AO97" i="16"/>
  <c r="AO96" i="16"/>
  <c r="AO95" i="16"/>
  <c r="AO94" i="16"/>
  <c r="AO93" i="16"/>
  <c r="AO92" i="16"/>
  <c r="AO91" i="16"/>
  <c r="AO90" i="16"/>
  <c r="AO89" i="16"/>
  <c r="AO88" i="16"/>
  <c r="AO87" i="16"/>
  <c r="AO86" i="16"/>
  <c r="AO85" i="16"/>
  <c r="AO84" i="16"/>
  <c r="AO83" i="16"/>
  <c r="AO82" i="16"/>
  <c r="AO81" i="16"/>
  <c r="AO80" i="16"/>
  <c r="AO79" i="16"/>
  <c r="AO77" i="16"/>
  <c r="AO76" i="16"/>
  <c r="AO75" i="16"/>
  <c r="AO74" i="16"/>
  <c r="AO73" i="16"/>
  <c r="AO72" i="16"/>
  <c r="AO71" i="16"/>
  <c r="AO70" i="16"/>
  <c r="AO69" i="16"/>
  <c r="AO68" i="16"/>
  <c r="AO67" i="16"/>
  <c r="AO66" i="16"/>
  <c r="AO65" i="16"/>
  <c r="AO64" i="16"/>
  <c r="AO63" i="16"/>
  <c r="AO62" i="16"/>
  <c r="AO61" i="16"/>
  <c r="AO60" i="16"/>
  <c r="AO59" i="16"/>
  <c r="AO58" i="16"/>
  <c r="AO57" i="16"/>
  <c r="AO56" i="16"/>
  <c r="AO55" i="16"/>
  <c r="AO54" i="16"/>
  <c r="AO53" i="16"/>
  <c r="AO52" i="16"/>
  <c r="AO51" i="16"/>
  <c r="AO50" i="16"/>
  <c r="AO49" i="16"/>
  <c r="AO48" i="16"/>
  <c r="AO34" i="16"/>
  <c r="AO33" i="16"/>
  <c r="AO31" i="16"/>
  <c r="AO30" i="16"/>
  <c r="AO29" i="16"/>
  <c r="AO28" i="16"/>
  <c r="AO27" i="16"/>
  <c r="AO26" i="16"/>
  <c r="AO25" i="16"/>
  <c r="AO24" i="16"/>
  <c r="AO23" i="16"/>
  <c r="AO22" i="16"/>
  <c r="AO21" i="16"/>
  <c r="AO20" i="16"/>
  <c r="AO19" i="16"/>
  <c r="AO18" i="16"/>
  <c r="AO17" i="16"/>
  <c r="AO16" i="16"/>
  <c r="AO15" i="16"/>
  <c r="AO14" i="16"/>
  <c r="AO13" i="16"/>
  <c r="AO12" i="16"/>
  <c r="AO11" i="16"/>
  <c r="AR10" i="18"/>
  <c r="Q29" i="18" l="1"/>
  <c r="T29" i="18" s="1"/>
  <c r="Q28" i="18"/>
  <c r="T28" i="18" s="1"/>
  <c r="Q27" i="18"/>
  <c r="Q26" i="18"/>
  <c r="T26" i="18" s="1"/>
  <c r="Q25" i="18"/>
  <c r="T25" i="18" s="1"/>
  <c r="Q24" i="18"/>
  <c r="Q23" i="18"/>
  <c r="Q22" i="18"/>
  <c r="Q21" i="18"/>
  <c r="T21" i="18" s="1"/>
  <c r="Q20" i="18"/>
  <c r="T20" i="18" s="1"/>
  <c r="T27" i="18"/>
  <c r="T24" i="18"/>
  <c r="T23" i="18"/>
  <c r="T22" i="18"/>
  <c r="T19" i="18"/>
  <c r="T18" i="18"/>
  <c r="T17" i="18"/>
  <c r="T16" i="18"/>
  <c r="T15" i="18"/>
  <c r="T14" i="18"/>
  <c r="T13" i="18"/>
  <c r="T12" i="18"/>
  <c r="T11" i="18"/>
  <c r="T10" i="18"/>
  <c r="T48" i="16"/>
  <c r="Q19" i="18"/>
  <c r="Q18" i="18"/>
  <c r="Q17" i="18"/>
  <c r="Q16" i="18"/>
  <c r="Q15" i="18"/>
  <c r="Q14" i="18"/>
  <c r="Q13" i="18"/>
  <c r="Q12" i="18"/>
  <c r="Q11" i="18"/>
  <c r="Q10" i="18"/>
  <c r="A67" i="20"/>
  <c r="A68" i="20" s="1"/>
  <c r="A69" i="20" s="1"/>
  <c r="A70" i="20" s="1"/>
  <c r="A71" i="20" s="1"/>
  <c r="A72" i="20" s="1"/>
  <c r="A73" i="20" s="1"/>
  <c r="A74" i="20" s="1"/>
  <c r="A75" i="20" s="1"/>
  <c r="A76" i="20" s="1"/>
  <c r="A77" i="20" s="1"/>
  <c r="A78" i="20" s="1"/>
  <c r="A79" i="20" s="1"/>
  <c r="A80" i="20" s="1"/>
  <c r="A81" i="20" s="1"/>
  <c r="A82" i="20" s="1"/>
  <c r="A83" i="20" s="1"/>
  <c r="A84" i="20" s="1"/>
  <c r="A85" i="20" s="1"/>
  <c r="A86" i="20" s="1"/>
  <c r="A87" i="20" s="1"/>
  <c r="A88" i="20" s="1"/>
  <c r="A89" i="20" s="1"/>
  <c r="A90" i="20" s="1"/>
  <c r="A91" i="20" s="1"/>
  <c r="A92" i="20" s="1"/>
  <c r="A93" i="20" s="1"/>
  <c r="A94" i="20" s="1"/>
  <c r="Q96" i="16" l="1"/>
  <c r="Q95" i="16"/>
  <c r="Q94" i="16"/>
  <c r="Q93" i="16"/>
  <c r="Q92" i="16"/>
  <c r="Q91" i="16"/>
  <c r="Q89" i="16"/>
  <c r="Q88" i="16"/>
  <c r="Q87" i="16"/>
  <c r="Q86" i="16"/>
  <c r="Q85" i="16"/>
  <c r="Q84" i="16"/>
  <c r="Q83" i="16"/>
  <c r="Q82" i="16"/>
  <c r="Q77" i="16"/>
  <c r="Q76" i="16"/>
  <c r="Q75" i="16"/>
  <c r="Q74" i="16"/>
  <c r="Q73" i="16"/>
  <c r="Q72" i="16"/>
  <c r="Q71" i="16"/>
  <c r="Q70" i="16"/>
  <c r="Q69" i="16"/>
  <c r="Q68" i="16"/>
  <c r="Q67" i="16"/>
  <c r="Q66" i="16"/>
  <c r="Q65" i="16"/>
  <c r="Q64" i="16"/>
  <c r="Q63" i="16"/>
  <c r="Q62" i="16"/>
  <c r="Q61" i="16"/>
  <c r="Q60" i="16"/>
  <c r="Q59" i="16"/>
  <c r="Q58" i="16"/>
  <c r="Q57" i="16"/>
  <c r="Q56" i="16"/>
  <c r="Q55" i="16"/>
  <c r="Q54" i="16"/>
  <c r="Q53" i="16"/>
  <c r="Q52" i="16"/>
  <c r="Q51" i="16"/>
  <c r="Q50" i="16"/>
  <c r="Q49" i="16"/>
  <c r="Q48" i="16"/>
  <c r="Q46" i="16"/>
  <c r="Q45" i="16"/>
  <c r="Q44" i="16"/>
  <c r="Q43" i="16"/>
  <c r="Q42" i="16"/>
  <c r="Q41" i="16"/>
  <c r="Q40" i="16"/>
  <c r="Q39" i="16"/>
  <c r="Q38" i="16"/>
  <c r="Q37" i="16"/>
  <c r="Q36" i="16"/>
  <c r="Q35" i="16"/>
  <c r="Q34" i="16"/>
  <c r="Q33" i="16"/>
  <c r="B53" i="24"/>
  <c r="B52" i="24"/>
  <c r="B51" i="24"/>
  <c r="B50" i="24"/>
  <c r="B49" i="24"/>
  <c r="B48" i="24"/>
  <c r="B47" i="24"/>
  <c r="B46" i="24"/>
  <c r="B45" i="24"/>
  <c r="B44" i="24"/>
  <c r="B43" i="24"/>
  <c r="B42" i="24"/>
  <c r="B41" i="24"/>
  <c r="B40" i="24"/>
  <c r="B39" i="24"/>
  <c r="B37" i="24"/>
  <c r="B36" i="24"/>
  <c r="B35" i="24"/>
  <c r="B34" i="24"/>
  <c r="B33" i="24"/>
  <c r="B32" i="24"/>
  <c r="B31" i="24"/>
  <c r="B30" i="24"/>
  <c r="B29" i="24"/>
  <c r="B28" i="24"/>
  <c r="B26" i="24"/>
  <c r="B25" i="24"/>
  <c r="B24" i="24"/>
  <c r="B23" i="24"/>
  <c r="B22" i="24"/>
  <c r="B21" i="24"/>
  <c r="B20" i="24"/>
  <c r="B19" i="24"/>
  <c r="B18" i="24"/>
  <c r="B17" i="24"/>
  <c r="B15" i="24"/>
  <c r="B14" i="24"/>
  <c r="B13" i="24"/>
  <c r="B12" i="24"/>
  <c r="B11" i="24"/>
  <c r="B10" i="24"/>
  <c r="B9" i="24"/>
  <c r="B8" i="24"/>
  <c r="B7" i="24"/>
  <c r="B6" i="24"/>
  <c r="D6" i="24" s="1"/>
  <c r="Q107" i="16"/>
  <c r="T107" i="16" s="1"/>
  <c r="Q106" i="16"/>
  <c r="T106" i="16" s="1"/>
  <c r="Q105" i="16"/>
  <c r="T105" i="16" s="1"/>
  <c r="Q104" i="16"/>
  <c r="T104" i="16" s="1"/>
  <c r="Q103" i="16"/>
  <c r="T103" i="16" s="1"/>
  <c r="Q102" i="16"/>
  <c r="T102" i="16" s="1"/>
  <c r="Q101" i="16"/>
  <c r="T101" i="16" s="1"/>
  <c r="Q100" i="16"/>
  <c r="T100" i="16" s="1"/>
  <c r="Q99" i="16"/>
  <c r="T99" i="16" s="1"/>
  <c r="AD107" i="16"/>
  <c r="AB107" i="16"/>
  <c r="Z107" i="16"/>
  <c r="X107" i="16"/>
  <c r="V107" i="16"/>
  <c r="N107" i="16"/>
  <c r="K107" i="16"/>
  <c r="I107" i="16"/>
  <c r="AD106" i="16"/>
  <c r="AB106" i="16"/>
  <c r="Z106" i="16"/>
  <c r="X106" i="16"/>
  <c r="V106" i="16"/>
  <c r="N106" i="16"/>
  <c r="K106" i="16"/>
  <c r="I106" i="16"/>
  <c r="AD105" i="16"/>
  <c r="AB105" i="16"/>
  <c r="Z105" i="16"/>
  <c r="X105" i="16"/>
  <c r="V105" i="16"/>
  <c r="N105" i="16"/>
  <c r="K105" i="16"/>
  <c r="I105" i="16"/>
  <c r="AD104" i="16"/>
  <c r="AB104" i="16"/>
  <c r="Z104" i="16"/>
  <c r="X104" i="16"/>
  <c r="V104" i="16"/>
  <c r="N104" i="16"/>
  <c r="K104" i="16"/>
  <c r="I104" i="16"/>
  <c r="AD103" i="16"/>
  <c r="AB103" i="16"/>
  <c r="Z103" i="16"/>
  <c r="X103" i="16"/>
  <c r="V103" i="16"/>
  <c r="N103" i="16"/>
  <c r="K103" i="16"/>
  <c r="I103" i="16"/>
  <c r="AD102" i="16"/>
  <c r="AB102" i="16"/>
  <c r="Z102" i="16"/>
  <c r="X102" i="16"/>
  <c r="V102" i="16"/>
  <c r="N102" i="16"/>
  <c r="K102" i="16"/>
  <c r="I102" i="16"/>
  <c r="AD101" i="16"/>
  <c r="AB101" i="16"/>
  <c r="Z101" i="16"/>
  <c r="X101" i="16"/>
  <c r="V101" i="16"/>
  <c r="N101" i="16"/>
  <c r="K101" i="16"/>
  <c r="I101" i="16"/>
  <c r="AD100" i="16"/>
  <c r="AB100" i="16"/>
  <c r="Z100" i="16"/>
  <c r="X100" i="16"/>
  <c r="V100" i="16"/>
  <c r="N100" i="16"/>
  <c r="K100" i="16"/>
  <c r="I100" i="16"/>
  <c r="A98" i="20"/>
  <c r="A99" i="20" s="1"/>
  <c r="A100" i="20" s="1"/>
  <c r="A101" i="20" s="1"/>
  <c r="A102" i="20" s="1"/>
  <c r="A103" i="20" s="1"/>
  <c r="A104" i="20" s="1"/>
  <c r="A105" i="20" s="1"/>
  <c r="A106" i="20" s="1"/>
  <c r="A107" i="20" s="1"/>
  <c r="A108" i="20" s="1"/>
  <c r="A109" i="20" s="1"/>
  <c r="A110" i="20" s="1"/>
  <c r="A111" i="20" s="1"/>
  <c r="A112" i="20" s="1"/>
  <c r="A113" i="20" s="1"/>
  <c r="A114" i="20" s="1"/>
  <c r="A115" i="20" s="1"/>
  <c r="A130" i="20"/>
  <c r="A131" i="20" s="1"/>
  <c r="A132" i="20" s="1"/>
  <c r="A133" i="20" s="1"/>
  <c r="A134" i="20" s="1"/>
  <c r="A135" i="20" s="1"/>
  <c r="A136" i="20" s="1"/>
  <c r="A137" i="20" s="1"/>
  <c r="A138" i="20" s="1"/>
  <c r="A139" i="20" s="1"/>
  <c r="A140" i="20" s="1"/>
  <c r="A141" i="20" s="1"/>
  <c r="A119" i="20"/>
  <c r="A120" i="20" s="1"/>
  <c r="A121" i="20" s="1"/>
  <c r="A122" i="20" s="1"/>
  <c r="A123" i="20" s="1"/>
  <c r="A124" i="20" s="1"/>
  <c r="A125" i="20" s="1"/>
  <c r="A126" i="20" s="1"/>
  <c r="A66" i="20"/>
  <c r="A50" i="20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B5" i="24"/>
  <c r="D5" i="24" s="1"/>
  <c r="E5" i="24" s="1"/>
  <c r="C6" i="24"/>
  <c r="C7" i="24" s="1"/>
  <c r="B80" i="24"/>
  <c r="O107" i="16" l="1"/>
  <c r="P107" i="16" s="1"/>
  <c r="AK107" i="16" s="1"/>
  <c r="O106" i="16"/>
  <c r="P106" i="16" s="1"/>
  <c r="AK106" i="16" s="1"/>
  <c r="O103" i="16"/>
  <c r="P103" i="16" s="1"/>
  <c r="AK103" i="16" s="1"/>
  <c r="O101" i="16"/>
  <c r="P101" i="16" s="1"/>
  <c r="AK101" i="16" s="1"/>
  <c r="O104" i="16"/>
  <c r="P104" i="16" s="1"/>
  <c r="AK104" i="16" s="1"/>
  <c r="O105" i="16"/>
  <c r="P105" i="16" s="1"/>
  <c r="AK105" i="16" s="1"/>
  <c r="O100" i="16"/>
  <c r="P100" i="16" s="1"/>
  <c r="AK100" i="16" s="1"/>
  <c r="O102" i="16"/>
  <c r="P102" i="16" s="1"/>
  <c r="AK102" i="16" s="1"/>
  <c r="C8" i="24"/>
  <c r="D7" i="24"/>
  <c r="E7" i="24" s="1"/>
  <c r="E6" i="24"/>
  <c r="AQ103" i="16" l="1"/>
  <c r="AN103" i="16"/>
  <c r="AQ101" i="16"/>
  <c r="AN101" i="16"/>
  <c r="AQ100" i="16"/>
  <c r="AN100" i="16"/>
  <c r="AQ105" i="16"/>
  <c r="AN105" i="16"/>
  <c r="AQ106" i="16"/>
  <c r="AN106" i="16"/>
  <c r="AQ104" i="16"/>
  <c r="AN104" i="16"/>
  <c r="AQ102" i="16"/>
  <c r="AN102" i="16"/>
  <c r="AQ107" i="16"/>
  <c r="AN107" i="16"/>
  <c r="C9" i="24"/>
  <c r="D8" i="24"/>
  <c r="E8" i="24" s="1"/>
  <c r="AV103" i="16" l="1"/>
  <c r="AW103" i="16" s="1"/>
  <c r="AV102" i="16"/>
  <c r="AW102" i="16" s="1"/>
  <c r="AV106" i="16"/>
  <c r="AW106" i="16" s="1"/>
  <c r="AV104" i="16"/>
  <c r="AW104" i="16" s="1"/>
  <c r="AV105" i="16"/>
  <c r="AW105" i="16" s="1"/>
  <c r="AV107" i="16"/>
  <c r="AW107" i="16" s="1"/>
  <c r="AV100" i="16"/>
  <c r="AW100" i="16" s="1"/>
  <c r="AV101" i="16"/>
  <c r="AW101" i="16" s="1"/>
  <c r="D9" i="24"/>
  <c r="E9" i="24" s="1"/>
  <c r="C10" i="24"/>
  <c r="C11" i="24" l="1"/>
  <c r="D10" i="24"/>
  <c r="E10" i="24" s="1"/>
  <c r="D11" i="24" l="1"/>
  <c r="E11" i="24"/>
  <c r="C12" i="24"/>
  <c r="C13" i="24" l="1"/>
  <c r="D12" i="24"/>
  <c r="E12" i="24" s="1"/>
  <c r="C14" i="24" l="1"/>
  <c r="D13" i="24"/>
  <c r="E13" i="24" s="1"/>
  <c r="C15" i="24" l="1"/>
  <c r="D14" i="24"/>
  <c r="E14" i="24" s="1"/>
  <c r="D15" i="24" l="1"/>
  <c r="E15" i="24" s="1"/>
  <c r="C17" i="24"/>
  <c r="C18" i="24" l="1"/>
  <c r="D17" i="24"/>
  <c r="E17" i="24"/>
  <c r="D18" i="24" l="1"/>
  <c r="E18" i="24"/>
  <c r="C19" i="24"/>
  <c r="C20" i="24" l="1"/>
  <c r="D19" i="24"/>
  <c r="E19" i="24"/>
  <c r="D20" i="24" l="1"/>
  <c r="C21" i="24"/>
  <c r="E20" i="24"/>
  <c r="C22" i="24" l="1"/>
  <c r="D21" i="24"/>
  <c r="E21" i="24"/>
  <c r="C23" i="24" l="1"/>
  <c r="D22" i="24"/>
  <c r="E22" i="24" s="1"/>
  <c r="C24" i="24" l="1"/>
  <c r="D23" i="24"/>
  <c r="E23" i="24"/>
  <c r="D24" i="24" l="1"/>
  <c r="E24" i="24"/>
  <c r="C25" i="24"/>
  <c r="C26" i="24" l="1"/>
  <c r="D25" i="24"/>
  <c r="E25" i="24"/>
  <c r="C28" i="24" l="1"/>
  <c r="D26" i="24"/>
  <c r="E26" i="24" s="1"/>
  <c r="C29" i="24" l="1"/>
  <c r="D28" i="24"/>
  <c r="E28" i="24" s="1"/>
  <c r="D29" i="24" l="1"/>
  <c r="C30" i="24"/>
  <c r="E29" i="24"/>
  <c r="C31" i="24" l="1"/>
  <c r="D30" i="24"/>
  <c r="E30" i="24"/>
  <c r="D31" i="24" l="1"/>
  <c r="E31" i="24" s="1"/>
  <c r="C32" i="24"/>
  <c r="C33" i="24" l="1"/>
  <c r="D32" i="24"/>
  <c r="E32" i="24"/>
  <c r="D33" i="24" l="1"/>
  <c r="E33" i="24"/>
  <c r="C34" i="24"/>
  <c r="C35" i="24" l="1"/>
  <c r="D34" i="24"/>
  <c r="E34" i="24" s="1"/>
  <c r="C36" i="24" l="1"/>
  <c r="D35" i="24"/>
  <c r="E35" i="24" s="1"/>
  <c r="C37" i="24" l="1"/>
  <c r="D36" i="24"/>
  <c r="E36" i="24"/>
  <c r="D37" i="24" l="1"/>
  <c r="E37" i="24"/>
  <c r="C39" i="24"/>
  <c r="C40" i="24" l="1"/>
  <c r="D39" i="24"/>
  <c r="E39" i="24"/>
  <c r="D40" i="24" l="1"/>
  <c r="C41" i="24"/>
  <c r="E40" i="24"/>
  <c r="C42" i="24" l="1"/>
  <c r="D41" i="24"/>
  <c r="E41" i="24"/>
  <c r="C43" i="24" l="1"/>
  <c r="D42" i="24"/>
  <c r="E42" i="24"/>
  <c r="C44" i="24" l="1"/>
  <c r="D43" i="24"/>
  <c r="E43" i="24"/>
  <c r="D44" i="24" l="1"/>
  <c r="E44" i="24"/>
  <c r="C45" i="24"/>
  <c r="C46" i="24" l="1"/>
  <c r="D45" i="24"/>
  <c r="E45" i="24"/>
  <c r="D46" i="24" l="1"/>
  <c r="E46" i="24"/>
  <c r="C47" i="24"/>
  <c r="C48" i="24" l="1"/>
  <c r="D47" i="24"/>
  <c r="E47" i="24"/>
  <c r="D48" i="24" l="1"/>
  <c r="C49" i="24"/>
  <c r="E48" i="24"/>
  <c r="C50" i="24" l="1"/>
  <c r="D49" i="24"/>
  <c r="E49" i="24"/>
  <c r="C51" i="24" l="1"/>
  <c r="D50" i="24"/>
  <c r="E50" i="24" s="1"/>
  <c r="C52" i="24" l="1"/>
  <c r="D51" i="24"/>
  <c r="E51" i="24"/>
  <c r="B132" i="19"/>
  <c r="B131" i="19"/>
  <c r="B113" i="19"/>
  <c r="D113" i="19"/>
  <c r="E113" i="19"/>
  <c r="B114" i="19"/>
  <c r="D114" i="19"/>
  <c r="E114" i="19"/>
  <c r="B115" i="19"/>
  <c r="D115" i="19"/>
  <c r="E115" i="19"/>
  <c r="B116" i="19"/>
  <c r="D116" i="19"/>
  <c r="E116" i="19"/>
  <c r="B117" i="19"/>
  <c r="D117" i="19"/>
  <c r="E117" i="19"/>
  <c r="B118" i="19"/>
  <c r="D118" i="19"/>
  <c r="E118" i="19"/>
  <c r="B119" i="19"/>
  <c r="D119" i="19"/>
  <c r="E119" i="19"/>
  <c r="B120" i="19"/>
  <c r="D120" i="19"/>
  <c r="E120" i="19"/>
  <c r="B121" i="19"/>
  <c r="D121" i="19"/>
  <c r="E121" i="19"/>
  <c r="B122" i="19"/>
  <c r="D122" i="19"/>
  <c r="E122" i="19"/>
  <c r="B123" i="19"/>
  <c r="D123" i="19"/>
  <c r="E123" i="19"/>
  <c r="B124" i="19"/>
  <c r="D124" i="19"/>
  <c r="E124" i="19"/>
  <c r="B125" i="19"/>
  <c r="D125" i="19"/>
  <c r="E125" i="19"/>
  <c r="B126" i="19"/>
  <c r="D126" i="19"/>
  <c r="E126" i="19"/>
  <c r="B127" i="19"/>
  <c r="D127" i="19"/>
  <c r="E127" i="19"/>
  <c r="B128" i="19"/>
  <c r="D128" i="19"/>
  <c r="E128" i="19"/>
  <c r="B129" i="19"/>
  <c r="D129" i="19"/>
  <c r="E129" i="19"/>
  <c r="B130" i="19"/>
  <c r="D130" i="19"/>
  <c r="E130" i="19"/>
  <c r="C121" i="12"/>
  <c r="C122" i="12"/>
  <c r="C123" i="12"/>
  <c r="C124" i="12"/>
  <c r="C125" i="12"/>
  <c r="C126" i="12"/>
  <c r="C127" i="12"/>
  <c r="C128" i="12"/>
  <c r="C129" i="12"/>
  <c r="C130" i="12"/>
  <c r="D121" i="12"/>
  <c r="E121" i="12"/>
  <c r="O121" i="12"/>
  <c r="P121" i="12"/>
  <c r="Q121" i="12"/>
  <c r="R121" i="12"/>
  <c r="S121" i="12"/>
  <c r="T121" i="12"/>
  <c r="V121" i="12"/>
  <c r="W121" i="12"/>
  <c r="AB121" i="12"/>
  <c r="AC121" i="12"/>
  <c r="AD121" i="12"/>
  <c r="AG121" i="12"/>
  <c r="AH121" i="12"/>
  <c r="D122" i="12"/>
  <c r="E122" i="12"/>
  <c r="L122" i="12"/>
  <c r="O122" i="12"/>
  <c r="P122" i="12"/>
  <c r="Q122" i="12"/>
  <c r="R122" i="12"/>
  <c r="S122" i="12"/>
  <c r="T122" i="12"/>
  <c r="V122" i="12"/>
  <c r="W122" i="12"/>
  <c r="AB122" i="12"/>
  <c r="AC122" i="12"/>
  <c r="AD122" i="12"/>
  <c r="AG122" i="12"/>
  <c r="AH122" i="12"/>
  <c r="D123" i="12"/>
  <c r="E123" i="12"/>
  <c r="N123" i="12"/>
  <c r="O123" i="12"/>
  <c r="P123" i="12"/>
  <c r="Q123" i="12"/>
  <c r="R123" i="12"/>
  <c r="S123" i="12"/>
  <c r="T123" i="12"/>
  <c r="V123" i="12"/>
  <c r="W123" i="12"/>
  <c r="AB123" i="12"/>
  <c r="AC123" i="12"/>
  <c r="AD123" i="12"/>
  <c r="AG123" i="12"/>
  <c r="AH123" i="12"/>
  <c r="D124" i="12"/>
  <c r="E124" i="12"/>
  <c r="O124" i="12"/>
  <c r="P124" i="12"/>
  <c r="Q124" i="12"/>
  <c r="R124" i="12"/>
  <c r="S124" i="12"/>
  <c r="T124" i="12"/>
  <c r="V124" i="12"/>
  <c r="W124" i="12"/>
  <c r="AB124" i="12"/>
  <c r="AC124" i="12"/>
  <c r="AD124" i="12"/>
  <c r="AG124" i="12"/>
  <c r="AH124" i="12"/>
  <c r="D125" i="12"/>
  <c r="E125" i="12"/>
  <c r="O125" i="12"/>
  <c r="P125" i="12"/>
  <c r="Q125" i="12"/>
  <c r="R125" i="12"/>
  <c r="S125" i="12"/>
  <c r="T125" i="12"/>
  <c r="V125" i="12"/>
  <c r="W125" i="12"/>
  <c r="AB125" i="12"/>
  <c r="AC125" i="12"/>
  <c r="AD125" i="12"/>
  <c r="AG125" i="12"/>
  <c r="AH125" i="12"/>
  <c r="D126" i="12"/>
  <c r="E126" i="12"/>
  <c r="O126" i="12"/>
  <c r="P126" i="12"/>
  <c r="Q126" i="12"/>
  <c r="R126" i="12"/>
  <c r="S126" i="12"/>
  <c r="T126" i="12"/>
  <c r="V126" i="12"/>
  <c r="W126" i="12"/>
  <c r="AB126" i="12"/>
  <c r="AC126" i="12"/>
  <c r="AD126" i="12"/>
  <c r="AG126" i="12"/>
  <c r="AH126" i="12"/>
  <c r="D127" i="12"/>
  <c r="E127" i="12"/>
  <c r="O127" i="12"/>
  <c r="P127" i="12"/>
  <c r="Q127" i="12"/>
  <c r="R127" i="12"/>
  <c r="S127" i="12"/>
  <c r="T127" i="12"/>
  <c r="V127" i="12"/>
  <c r="W127" i="12"/>
  <c r="AB127" i="12"/>
  <c r="AC127" i="12"/>
  <c r="AD127" i="12"/>
  <c r="AG127" i="12"/>
  <c r="AH127" i="12"/>
  <c r="D128" i="12"/>
  <c r="E128" i="12"/>
  <c r="O128" i="12"/>
  <c r="P128" i="12"/>
  <c r="Q128" i="12"/>
  <c r="R128" i="12"/>
  <c r="S128" i="12"/>
  <c r="T128" i="12"/>
  <c r="V128" i="12"/>
  <c r="W128" i="12"/>
  <c r="AB128" i="12"/>
  <c r="AC128" i="12"/>
  <c r="AD128" i="12"/>
  <c r="AG128" i="12"/>
  <c r="AH128" i="12"/>
  <c r="D129" i="12"/>
  <c r="E129" i="12"/>
  <c r="O129" i="12"/>
  <c r="P129" i="12"/>
  <c r="Q129" i="12"/>
  <c r="R129" i="12"/>
  <c r="S129" i="12"/>
  <c r="T129" i="12"/>
  <c r="V129" i="12"/>
  <c r="W129" i="12"/>
  <c r="AB129" i="12"/>
  <c r="AC129" i="12"/>
  <c r="AD129" i="12"/>
  <c r="AG129" i="12"/>
  <c r="AH129" i="12"/>
  <c r="D130" i="12"/>
  <c r="E130" i="12"/>
  <c r="O130" i="12"/>
  <c r="P130" i="12"/>
  <c r="Q130" i="12"/>
  <c r="R130" i="12"/>
  <c r="S130" i="12"/>
  <c r="T130" i="12"/>
  <c r="V130" i="12"/>
  <c r="W130" i="12"/>
  <c r="AB130" i="12"/>
  <c r="AC130" i="12"/>
  <c r="AD130" i="12"/>
  <c r="AG130" i="12"/>
  <c r="AH130" i="12"/>
  <c r="I20" i="18"/>
  <c r="K20" i="18"/>
  <c r="N20" i="18"/>
  <c r="G121" i="12" s="1"/>
  <c r="V20" i="18"/>
  <c r="J121" i="12" s="1"/>
  <c r="X20" i="18"/>
  <c r="K121" i="12" s="1"/>
  <c r="Z20" i="18"/>
  <c r="L121" i="12" s="1"/>
  <c r="AB20" i="18"/>
  <c r="M121" i="12" s="1"/>
  <c r="AD20" i="18"/>
  <c r="N121" i="12" s="1"/>
  <c r="I21" i="18"/>
  <c r="K21" i="18"/>
  <c r="F122" i="12" s="1"/>
  <c r="N21" i="18"/>
  <c r="G122" i="12" s="1"/>
  <c r="V21" i="18"/>
  <c r="J122" i="12" s="1"/>
  <c r="X21" i="18"/>
  <c r="K122" i="12" s="1"/>
  <c r="Z21" i="18"/>
  <c r="AB21" i="18"/>
  <c r="M122" i="12" s="1"/>
  <c r="AD21" i="18"/>
  <c r="N122" i="12" s="1"/>
  <c r="I22" i="18"/>
  <c r="K22" i="18"/>
  <c r="N22" i="18"/>
  <c r="G123" i="12" s="1"/>
  <c r="V22" i="18"/>
  <c r="J123" i="12" s="1"/>
  <c r="X22" i="18"/>
  <c r="K123" i="12" s="1"/>
  <c r="Z22" i="18"/>
  <c r="L123" i="12" s="1"/>
  <c r="AB22" i="18"/>
  <c r="M123" i="12" s="1"/>
  <c r="AD22" i="18"/>
  <c r="I23" i="18"/>
  <c r="K23" i="18"/>
  <c r="F124" i="12" s="1"/>
  <c r="N23" i="18"/>
  <c r="G124" i="12" s="1"/>
  <c r="V23" i="18"/>
  <c r="J124" i="12" s="1"/>
  <c r="X23" i="18"/>
  <c r="K124" i="12" s="1"/>
  <c r="Z23" i="18"/>
  <c r="L124" i="12" s="1"/>
  <c r="AB23" i="18"/>
  <c r="M124" i="12" s="1"/>
  <c r="AD23" i="18"/>
  <c r="N124" i="12" s="1"/>
  <c r="I24" i="18"/>
  <c r="K24" i="18"/>
  <c r="N24" i="18"/>
  <c r="G125" i="12" s="1"/>
  <c r="V24" i="18"/>
  <c r="J125" i="12" s="1"/>
  <c r="X24" i="18"/>
  <c r="K125" i="12" s="1"/>
  <c r="Z24" i="18"/>
  <c r="L125" i="12" s="1"/>
  <c r="AB24" i="18"/>
  <c r="M125" i="12" s="1"/>
  <c r="AD24" i="18"/>
  <c r="N125" i="12" s="1"/>
  <c r="I25" i="18"/>
  <c r="K25" i="18"/>
  <c r="F126" i="12" s="1"/>
  <c r="N25" i="18"/>
  <c r="G126" i="12" s="1"/>
  <c r="V25" i="18"/>
  <c r="J126" i="12" s="1"/>
  <c r="X25" i="18"/>
  <c r="K126" i="12" s="1"/>
  <c r="Z25" i="18"/>
  <c r="L126" i="12" s="1"/>
  <c r="AB25" i="18"/>
  <c r="M126" i="12" s="1"/>
  <c r="AD25" i="18"/>
  <c r="N126" i="12" s="1"/>
  <c r="I26" i="18"/>
  <c r="K26" i="18"/>
  <c r="N26" i="18"/>
  <c r="G127" i="12" s="1"/>
  <c r="V26" i="18"/>
  <c r="J127" i="12" s="1"/>
  <c r="X26" i="18"/>
  <c r="K127" i="12" s="1"/>
  <c r="Z26" i="18"/>
  <c r="L127" i="12" s="1"/>
  <c r="AB26" i="18"/>
  <c r="M127" i="12" s="1"/>
  <c r="AD26" i="18"/>
  <c r="N127" i="12" s="1"/>
  <c r="I27" i="18"/>
  <c r="K27" i="18"/>
  <c r="F128" i="12" s="1"/>
  <c r="N27" i="18"/>
  <c r="G128" i="12" s="1"/>
  <c r="V27" i="18"/>
  <c r="J128" i="12" s="1"/>
  <c r="X27" i="18"/>
  <c r="K128" i="12" s="1"/>
  <c r="Z27" i="18"/>
  <c r="L128" i="12" s="1"/>
  <c r="AB27" i="18"/>
  <c r="M128" i="12" s="1"/>
  <c r="AD27" i="18"/>
  <c r="N128" i="12" s="1"/>
  <c r="I28" i="18"/>
  <c r="K28" i="18"/>
  <c r="N28" i="18"/>
  <c r="G129" i="12" s="1"/>
  <c r="V28" i="18"/>
  <c r="J129" i="12" s="1"/>
  <c r="X28" i="18"/>
  <c r="K129" i="12" s="1"/>
  <c r="Z28" i="18"/>
  <c r="L129" i="12" s="1"/>
  <c r="AB28" i="18"/>
  <c r="M129" i="12" s="1"/>
  <c r="AD28" i="18"/>
  <c r="N129" i="12" s="1"/>
  <c r="I29" i="18"/>
  <c r="K29" i="18"/>
  <c r="F130" i="12" s="1"/>
  <c r="N29" i="18"/>
  <c r="G130" i="12" s="1"/>
  <c r="V29" i="18"/>
  <c r="J130" i="12" s="1"/>
  <c r="X29" i="18"/>
  <c r="K130" i="12" s="1"/>
  <c r="Z29" i="18"/>
  <c r="L130" i="12" s="1"/>
  <c r="AB29" i="18"/>
  <c r="M130" i="12" s="1"/>
  <c r="AD29" i="18"/>
  <c r="N130" i="12" s="1"/>
  <c r="C16" i="13"/>
  <c r="I127" i="12" l="1"/>
  <c r="I125" i="12"/>
  <c r="I129" i="12"/>
  <c r="O29" i="18"/>
  <c r="P29" i="18" s="1"/>
  <c r="AK29" i="18" s="1"/>
  <c r="O25" i="18"/>
  <c r="P25" i="18" s="1"/>
  <c r="AK25" i="18" s="1"/>
  <c r="O22" i="18"/>
  <c r="P22" i="18" s="1"/>
  <c r="AK22" i="18" s="1"/>
  <c r="F123" i="12"/>
  <c r="D52" i="24"/>
  <c r="E52" i="24"/>
  <c r="C53" i="24"/>
  <c r="F125" i="12"/>
  <c r="F127" i="12"/>
  <c r="O28" i="18"/>
  <c r="P28" i="18" s="1"/>
  <c r="H129" i="12" s="1"/>
  <c r="I121" i="12"/>
  <c r="F129" i="12"/>
  <c r="I123" i="12"/>
  <c r="O24" i="18"/>
  <c r="P24" i="18" s="1"/>
  <c r="H125" i="12" s="1"/>
  <c r="F121" i="12"/>
  <c r="I124" i="12"/>
  <c r="N126" i="20"/>
  <c r="N124" i="20"/>
  <c r="N123" i="20"/>
  <c r="N122" i="20"/>
  <c r="N121" i="20"/>
  <c r="N120" i="20"/>
  <c r="N119" i="20"/>
  <c r="N118" i="20"/>
  <c r="N141" i="20"/>
  <c r="N140" i="20"/>
  <c r="N139" i="20"/>
  <c r="N138" i="20"/>
  <c r="N137" i="20"/>
  <c r="N136" i="20"/>
  <c r="N135" i="20"/>
  <c r="N134" i="20"/>
  <c r="N133" i="20"/>
  <c r="N132" i="20"/>
  <c r="N131" i="20"/>
  <c r="N130" i="20"/>
  <c r="N129" i="20"/>
  <c r="N125" i="20"/>
  <c r="U123" i="12" l="1"/>
  <c r="U130" i="12"/>
  <c r="U126" i="12"/>
  <c r="AA126" i="12"/>
  <c r="I126" i="12"/>
  <c r="O26" i="18"/>
  <c r="P26" i="18" s="1"/>
  <c r="AK26" i="18" s="1"/>
  <c r="AN25" i="18"/>
  <c r="X126" i="12" s="1"/>
  <c r="H126" i="12"/>
  <c r="AQ22" i="18"/>
  <c r="Z123" i="12" s="1"/>
  <c r="H123" i="12"/>
  <c r="Y126" i="12"/>
  <c r="Y130" i="12"/>
  <c r="AQ25" i="18"/>
  <c r="Z126" i="12" s="1"/>
  <c r="AA130" i="12"/>
  <c r="I130" i="12"/>
  <c r="AA123" i="12"/>
  <c r="H130" i="12"/>
  <c r="AQ29" i="18"/>
  <c r="Z130" i="12" s="1"/>
  <c r="AN22" i="18"/>
  <c r="X123" i="12" s="1"/>
  <c r="Y123" i="12"/>
  <c r="AN29" i="18"/>
  <c r="X130" i="12" s="1"/>
  <c r="AK24" i="18"/>
  <c r="D53" i="24"/>
  <c r="E53" i="24"/>
  <c r="O23" i="18"/>
  <c r="P23" i="18" s="1"/>
  <c r="AK23" i="18" s="1"/>
  <c r="AK28" i="18"/>
  <c r="O20" i="18"/>
  <c r="P20" i="18" s="1"/>
  <c r="O21" i="18"/>
  <c r="P21" i="18" s="1"/>
  <c r="I122" i="12"/>
  <c r="O27" i="18"/>
  <c r="P27" i="18" s="1"/>
  <c r="AK27" i="18" s="1"/>
  <c r="I128" i="12"/>
  <c r="E112" i="19"/>
  <c r="D112" i="19"/>
  <c r="B112" i="19"/>
  <c r="E111" i="19"/>
  <c r="D111" i="19"/>
  <c r="B111" i="19"/>
  <c r="E103" i="19"/>
  <c r="D103" i="19"/>
  <c r="B103" i="19"/>
  <c r="E102" i="19"/>
  <c r="D102" i="19"/>
  <c r="B102" i="19"/>
  <c r="E101" i="19"/>
  <c r="D101" i="19"/>
  <c r="B101" i="19"/>
  <c r="E100" i="19"/>
  <c r="D100" i="19"/>
  <c r="B100" i="19"/>
  <c r="E99" i="19"/>
  <c r="D99" i="19"/>
  <c r="B99" i="19"/>
  <c r="E98" i="19"/>
  <c r="D98" i="19"/>
  <c r="B98" i="19"/>
  <c r="E97" i="19"/>
  <c r="D97" i="19"/>
  <c r="B97" i="19"/>
  <c r="E96" i="19"/>
  <c r="D96" i="19"/>
  <c r="B96" i="19"/>
  <c r="E95" i="19"/>
  <c r="D95" i="19"/>
  <c r="B95" i="19"/>
  <c r="E94" i="19"/>
  <c r="D94" i="19"/>
  <c r="B94" i="19"/>
  <c r="E93" i="19"/>
  <c r="D93" i="19"/>
  <c r="B93" i="19"/>
  <c r="E92" i="19"/>
  <c r="D92" i="19"/>
  <c r="B92" i="19"/>
  <c r="E91" i="19"/>
  <c r="D91" i="19"/>
  <c r="B91" i="19"/>
  <c r="E90" i="19"/>
  <c r="D90" i="19"/>
  <c r="B90" i="19"/>
  <c r="E89" i="19"/>
  <c r="D89" i="19"/>
  <c r="B89" i="19"/>
  <c r="E88" i="19"/>
  <c r="D88" i="19"/>
  <c r="B88" i="19"/>
  <c r="E87" i="19"/>
  <c r="D87" i="19"/>
  <c r="B87" i="19"/>
  <c r="E86" i="19"/>
  <c r="D86" i="19"/>
  <c r="B86" i="19"/>
  <c r="E85" i="19"/>
  <c r="D85" i="19"/>
  <c r="B85" i="19"/>
  <c r="E84" i="19"/>
  <c r="D84" i="19"/>
  <c r="B84" i="19"/>
  <c r="E83" i="19"/>
  <c r="D83" i="19"/>
  <c r="B83" i="19"/>
  <c r="E82" i="19"/>
  <c r="D82" i="19"/>
  <c r="B82" i="19"/>
  <c r="E81" i="19"/>
  <c r="D81" i="19"/>
  <c r="B81" i="19"/>
  <c r="E80" i="19"/>
  <c r="D80" i="19"/>
  <c r="B80" i="19"/>
  <c r="E79" i="19"/>
  <c r="D79" i="19"/>
  <c r="B79" i="19"/>
  <c r="E78" i="19"/>
  <c r="D78" i="19"/>
  <c r="B78" i="19"/>
  <c r="E77" i="19"/>
  <c r="D77" i="19"/>
  <c r="B77" i="19"/>
  <c r="E76" i="19"/>
  <c r="D76" i="19"/>
  <c r="B76" i="19"/>
  <c r="E75" i="19"/>
  <c r="D75" i="19"/>
  <c r="B75" i="19"/>
  <c r="E74" i="19"/>
  <c r="D74" i="19"/>
  <c r="B74" i="19"/>
  <c r="E73" i="19"/>
  <c r="D73" i="19"/>
  <c r="B73" i="19"/>
  <c r="E72" i="19"/>
  <c r="D72" i="19"/>
  <c r="B72" i="19"/>
  <c r="E71" i="19"/>
  <c r="D71" i="19"/>
  <c r="B71" i="19"/>
  <c r="E70" i="19"/>
  <c r="D70" i="19"/>
  <c r="B70" i="19"/>
  <c r="E69" i="19"/>
  <c r="D69" i="19"/>
  <c r="B69" i="19"/>
  <c r="E68" i="19"/>
  <c r="D68" i="19"/>
  <c r="B68" i="19"/>
  <c r="E67" i="19"/>
  <c r="D67" i="19"/>
  <c r="B67" i="19"/>
  <c r="E66" i="19"/>
  <c r="D66" i="19"/>
  <c r="B66" i="19"/>
  <c r="E65" i="19"/>
  <c r="D65" i="19"/>
  <c r="B65" i="19"/>
  <c r="E64" i="19"/>
  <c r="D64" i="19"/>
  <c r="B64" i="19"/>
  <c r="E63" i="19"/>
  <c r="D63" i="19"/>
  <c r="B63" i="19"/>
  <c r="E62" i="19"/>
  <c r="D62" i="19"/>
  <c r="B62" i="19"/>
  <c r="E61" i="19"/>
  <c r="D61" i="19"/>
  <c r="B61" i="19"/>
  <c r="E60" i="19"/>
  <c r="D60" i="19"/>
  <c r="B60" i="19"/>
  <c r="E59" i="19"/>
  <c r="D59" i="19"/>
  <c r="B59" i="19"/>
  <c r="E58" i="19"/>
  <c r="D58" i="19"/>
  <c r="B58" i="19"/>
  <c r="E57" i="19"/>
  <c r="D57" i="19"/>
  <c r="B57" i="19"/>
  <c r="E56" i="19"/>
  <c r="D56" i="19"/>
  <c r="B56" i="19"/>
  <c r="E55" i="19"/>
  <c r="D55" i="19"/>
  <c r="B55" i="19"/>
  <c r="E54" i="19"/>
  <c r="D54" i="19"/>
  <c r="B54" i="19"/>
  <c r="E53" i="19"/>
  <c r="D53" i="19"/>
  <c r="B53" i="19"/>
  <c r="E52" i="19"/>
  <c r="D52" i="19"/>
  <c r="B52" i="19"/>
  <c r="E51" i="19"/>
  <c r="D51" i="19"/>
  <c r="B51" i="19"/>
  <c r="E50" i="19"/>
  <c r="D50" i="19"/>
  <c r="B50" i="19"/>
  <c r="E49" i="19"/>
  <c r="D49" i="19"/>
  <c r="B49" i="19"/>
  <c r="E48" i="19"/>
  <c r="D48" i="19"/>
  <c r="B48" i="19"/>
  <c r="E47" i="19"/>
  <c r="D47" i="19"/>
  <c r="B47" i="19"/>
  <c r="E46" i="19"/>
  <c r="D46" i="19"/>
  <c r="B46" i="19"/>
  <c r="E45" i="19"/>
  <c r="D45" i="19"/>
  <c r="B45" i="19"/>
  <c r="E44" i="19"/>
  <c r="D44" i="19"/>
  <c r="B44" i="19"/>
  <c r="E43" i="19"/>
  <c r="D43" i="19"/>
  <c r="B43" i="19"/>
  <c r="E42" i="19"/>
  <c r="D42" i="19"/>
  <c r="B42" i="19"/>
  <c r="E41" i="19"/>
  <c r="D41" i="19"/>
  <c r="B41" i="19"/>
  <c r="E40" i="19"/>
  <c r="D40" i="19"/>
  <c r="B40" i="19"/>
  <c r="E39" i="19"/>
  <c r="D39" i="19"/>
  <c r="B39" i="19"/>
  <c r="E38" i="19"/>
  <c r="D38" i="19"/>
  <c r="B38" i="19"/>
  <c r="E37" i="19"/>
  <c r="D37" i="19"/>
  <c r="B37" i="19"/>
  <c r="E36" i="19"/>
  <c r="D36" i="19"/>
  <c r="B36" i="19"/>
  <c r="E35" i="19"/>
  <c r="D35" i="19"/>
  <c r="B35" i="19"/>
  <c r="E34" i="19"/>
  <c r="D34" i="19"/>
  <c r="B34" i="19"/>
  <c r="E33" i="19"/>
  <c r="D33" i="19"/>
  <c r="B33" i="19"/>
  <c r="E32" i="19"/>
  <c r="D32" i="19"/>
  <c r="B32" i="19"/>
  <c r="E31" i="19"/>
  <c r="D31" i="19"/>
  <c r="B31" i="19"/>
  <c r="E30" i="19"/>
  <c r="D30" i="19"/>
  <c r="B30" i="19"/>
  <c r="E29" i="19"/>
  <c r="D29" i="19"/>
  <c r="B29" i="19"/>
  <c r="E28" i="19"/>
  <c r="D28" i="19"/>
  <c r="B28" i="19"/>
  <c r="E27" i="19"/>
  <c r="D27" i="19"/>
  <c r="B27" i="19"/>
  <c r="E26" i="19"/>
  <c r="D26" i="19"/>
  <c r="B26" i="19"/>
  <c r="E25" i="19"/>
  <c r="D25" i="19"/>
  <c r="B25" i="19"/>
  <c r="E24" i="19"/>
  <c r="D24" i="19"/>
  <c r="B24" i="19"/>
  <c r="E23" i="19"/>
  <c r="D23" i="19"/>
  <c r="B23" i="19"/>
  <c r="E22" i="19"/>
  <c r="D22" i="19"/>
  <c r="B22" i="19"/>
  <c r="E21" i="19"/>
  <c r="D21" i="19"/>
  <c r="B21" i="19"/>
  <c r="E20" i="19"/>
  <c r="D20" i="19"/>
  <c r="B20" i="19"/>
  <c r="E19" i="19"/>
  <c r="D19" i="19"/>
  <c r="B19" i="19"/>
  <c r="E18" i="19"/>
  <c r="D18" i="19"/>
  <c r="B18" i="19"/>
  <c r="E17" i="19"/>
  <c r="D17" i="19"/>
  <c r="B17" i="19"/>
  <c r="E16" i="19"/>
  <c r="D16" i="19"/>
  <c r="B16" i="19"/>
  <c r="E15" i="19"/>
  <c r="D15" i="19"/>
  <c r="B15" i="19"/>
  <c r="E14" i="19"/>
  <c r="D14" i="19"/>
  <c r="B14" i="19"/>
  <c r="E13" i="19"/>
  <c r="D13" i="19"/>
  <c r="B13" i="19"/>
  <c r="E12" i="19"/>
  <c r="D12" i="19"/>
  <c r="B12" i="19"/>
  <c r="E11" i="19"/>
  <c r="D11" i="19"/>
  <c r="B11" i="19"/>
  <c r="E10" i="19"/>
  <c r="D10" i="19"/>
  <c r="B10" i="19"/>
  <c r="U127" i="12" l="1"/>
  <c r="AA127" i="12"/>
  <c r="AQ24" i="18"/>
  <c r="Z125" i="12" s="1"/>
  <c r="AA125" i="12"/>
  <c r="AN26" i="18"/>
  <c r="X127" i="12" s="1"/>
  <c r="Y127" i="12"/>
  <c r="H127" i="12"/>
  <c r="AQ26" i="18"/>
  <c r="Z127" i="12" s="1"/>
  <c r="AV29" i="18"/>
  <c r="AE130" i="12" s="1"/>
  <c r="AV22" i="18"/>
  <c r="AW22" i="18" s="1"/>
  <c r="AV25" i="18"/>
  <c r="AW25" i="18" s="1"/>
  <c r="H128" i="12"/>
  <c r="Y125" i="12"/>
  <c r="AN24" i="18"/>
  <c r="X125" i="12" s="1"/>
  <c r="U125" i="12"/>
  <c r="U128" i="12"/>
  <c r="AA128" i="12"/>
  <c r="AQ27" i="18"/>
  <c r="Z128" i="12" s="1"/>
  <c r="Y128" i="12"/>
  <c r="AN27" i="18"/>
  <c r="X128" i="12" s="1"/>
  <c r="U124" i="12"/>
  <c r="AA124" i="12"/>
  <c r="AQ23" i="18"/>
  <c r="Z124" i="12" s="1"/>
  <c r="Y124" i="12"/>
  <c r="AN23" i="18"/>
  <c r="X124" i="12" s="1"/>
  <c r="H124" i="12"/>
  <c r="U129" i="12"/>
  <c r="AA129" i="12"/>
  <c r="AN28" i="18"/>
  <c r="AQ28" i="18"/>
  <c r="Z129" i="12" s="1"/>
  <c r="Y129" i="12"/>
  <c r="AK21" i="18"/>
  <c r="H122" i="12"/>
  <c r="AK20" i="18"/>
  <c r="H121" i="12"/>
  <c r="AE126" i="12" l="1"/>
  <c r="AW29" i="18"/>
  <c r="AE123" i="12"/>
  <c r="AV26" i="18"/>
  <c r="AV24" i="18"/>
  <c r="AW24" i="18" s="1"/>
  <c r="AV27" i="18"/>
  <c r="AE128" i="12" s="1"/>
  <c r="AV28" i="18"/>
  <c r="AE129" i="12" s="1"/>
  <c r="X129" i="12"/>
  <c r="AA122" i="12"/>
  <c r="AQ21" i="18"/>
  <c r="Z122" i="12" s="1"/>
  <c r="Y122" i="12"/>
  <c r="AN21" i="18"/>
  <c r="AN20" i="18"/>
  <c r="AA121" i="12"/>
  <c r="AQ20" i="18"/>
  <c r="Z121" i="12" s="1"/>
  <c r="Y121" i="12"/>
  <c r="AV23" i="18"/>
  <c r="AW23" i="18" s="1"/>
  <c r="U122" i="12"/>
  <c r="U121" i="12"/>
  <c r="AF123" i="12"/>
  <c r="F123" i="19"/>
  <c r="AF130" i="12"/>
  <c r="F130" i="19"/>
  <c r="F126" i="19"/>
  <c r="AF126" i="12"/>
  <c r="C111" i="12"/>
  <c r="AE125" i="12" l="1"/>
  <c r="AW28" i="18"/>
  <c r="F129" i="19" s="1"/>
  <c r="AW26" i="18"/>
  <c r="AE127" i="12"/>
  <c r="AV21" i="18"/>
  <c r="AV20" i="18"/>
  <c r="AW27" i="18"/>
  <c r="AF128" i="12" s="1"/>
  <c r="AE124" i="12"/>
  <c r="X122" i="12"/>
  <c r="X121" i="12"/>
  <c r="AF125" i="12"/>
  <c r="F125" i="19"/>
  <c r="F124" i="19"/>
  <c r="AF124" i="12"/>
  <c r="AF129" i="12"/>
  <c r="AH103" i="12"/>
  <c r="AG103" i="12"/>
  <c r="AD103" i="12"/>
  <c r="AC103" i="12"/>
  <c r="AB103" i="12"/>
  <c r="W103" i="12"/>
  <c r="V103" i="12"/>
  <c r="T103" i="12"/>
  <c r="S103" i="12"/>
  <c r="R103" i="12"/>
  <c r="Q103" i="12"/>
  <c r="P103" i="12"/>
  <c r="O103" i="12"/>
  <c r="E103" i="12"/>
  <c r="D103" i="12"/>
  <c r="C103" i="12"/>
  <c r="AH102" i="12"/>
  <c r="AG102" i="12"/>
  <c r="AD102" i="12"/>
  <c r="AC102" i="12"/>
  <c r="AB102" i="12"/>
  <c r="W102" i="12"/>
  <c r="V102" i="12"/>
  <c r="T102" i="12"/>
  <c r="S102" i="12"/>
  <c r="R102" i="12"/>
  <c r="Q102" i="12"/>
  <c r="P102" i="12"/>
  <c r="O102" i="12"/>
  <c r="E102" i="12"/>
  <c r="D102" i="12"/>
  <c r="C102" i="12"/>
  <c r="AH101" i="12"/>
  <c r="AG101" i="12"/>
  <c r="AD101" i="12"/>
  <c r="AC101" i="12"/>
  <c r="AB101" i="12"/>
  <c r="W101" i="12"/>
  <c r="V101" i="12"/>
  <c r="T101" i="12"/>
  <c r="S101" i="12"/>
  <c r="R101" i="12"/>
  <c r="Q101" i="12"/>
  <c r="P101" i="12"/>
  <c r="O101" i="12"/>
  <c r="E101" i="12"/>
  <c r="D101" i="12"/>
  <c r="C101" i="12"/>
  <c r="AH100" i="12"/>
  <c r="AG100" i="12"/>
  <c r="AD100" i="12"/>
  <c r="AC100" i="12"/>
  <c r="AB100" i="12"/>
  <c r="W100" i="12"/>
  <c r="V100" i="12"/>
  <c r="T100" i="12"/>
  <c r="S100" i="12"/>
  <c r="R100" i="12"/>
  <c r="Q100" i="12"/>
  <c r="P100" i="12"/>
  <c r="O100" i="12"/>
  <c r="E100" i="12"/>
  <c r="D100" i="12"/>
  <c r="C100" i="12"/>
  <c r="AH99" i="12"/>
  <c r="AG99" i="12"/>
  <c r="AD99" i="12"/>
  <c r="AC99" i="12"/>
  <c r="AB99" i="12"/>
  <c r="W99" i="12"/>
  <c r="V99" i="12"/>
  <c r="T99" i="12"/>
  <c r="S99" i="12"/>
  <c r="R99" i="12"/>
  <c r="Q99" i="12"/>
  <c r="P99" i="12"/>
  <c r="O99" i="12"/>
  <c r="E99" i="12"/>
  <c r="D99" i="12"/>
  <c r="C99" i="12"/>
  <c r="AH98" i="12"/>
  <c r="AG98" i="12"/>
  <c r="AD98" i="12"/>
  <c r="AC98" i="12"/>
  <c r="AB98" i="12"/>
  <c r="W98" i="12"/>
  <c r="V98" i="12"/>
  <c r="T98" i="12"/>
  <c r="S98" i="12"/>
  <c r="R98" i="12"/>
  <c r="Q98" i="12"/>
  <c r="P98" i="12"/>
  <c r="O98" i="12"/>
  <c r="E98" i="12"/>
  <c r="D98" i="12"/>
  <c r="C98" i="12"/>
  <c r="AH97" i="12"/>
  <c r="AG97" i="12"/>
  <c r="AD97" i="12"/>
  <c r="AC97" i="12"/>
  <c r="AB97" i="12"/>
  <c r="W97" i="12"/>
  <c r="V97" i="12"/>
  <c r="T97" i="12"/>
  <c r="S97" i="12"/>
  <c r="R97" i="12"/>
  <c r="Q97" i="12"/>
  <c r="P97" i="12"/>
  <c r="O97" i="12"/>
  <c r="E97" i="12"/>
  <c r="D97" i="12"/>
  <c r="C97" i="12"/>
  <c r="AH96" i="12"/>
  <c r="AG96" i="12"/>
  <c r="AD96" i="12"/>
  <c r="AC96" i="12"/>
  <c r="AB96" i="12"/>
  <c r="W96" i="12"/>
  <c r="V96" i="12"/>
  <c r="T96" i="12"/>
  <c r="S96" i="12"/>
  <c r="R96" i="12"/>
  <c r="Q96" i="12"/>
  <c r="P96" i="12"/>
  <c r="O96" i="12"/>
  <c r="E96" i="12"/>
  <c r="D96" i="12"/>
  <c r="C96" i="12"/>
  <c r="AH95" i="12"/>
  <c r="AG95" i="12"/>
  <c r="AD95" i="12"/>
  <c r="AC95" i="12"/>
  <c r="AB95" i="12"/>
  <c r="W95" i="12"/>
  <c r="V95" i="12"/>
  <c r="T95" i="12"/>
  <c r="S95" i="12"/>
  <c r="R95" i="12"/>
  <c r="Q95" i="12"/>
  <c r="P95" i="12"/>
  <c r="O95" i="12"/>
  <c r="E95" i="12"/>
  <c r="D95" i="12"/>
  <c r="C95" i="12"/>
  <c r="AH94" i="12"/>
  <c r="AG94" i="12"/>
  <c r="AD94" i="12"/>
  <c r="AC94" i="12"/>
  <c r="AB94" i="12"/>
  <c r="W94" i="12"/>
  <c r="V94" i="12"/>
  <c r="T94" i="12"/>
  <c r="S94" i="12"/>
  <c r="R94" i="12"/>
  <c r="Q94" i="12"/>
  <c r="P94" i="12"/>
  <c r="O94" i="12"/>
  <c r="E94" i="12"/>
  <c r="D94" i="12"/>
  <c r="C94" i="12"/>
  <c r="AH93" i="12"/>
  <c r="AG93" i="12"/>
  <c r="AD93" i="12"/>
  <c r="AC93" i="12"/>
  <c r="AB93" i="12"/>
  <c r="W93" i="12"/>
  <c r="V93" i="12"/>
  <c r="T93" i="12"/>
  <c r="S93" i="12"/>
  <c r="R93" i="12"/>
  <c r="Q93" i="12"/>
  <c r="P93" i="12"/>
  <c r="O93" i="12"/>
  <c r="E93" i="12"/>
  <c r="D93" i="12"/>
  <c r="C93" i="12"/>
  <c r="AH92" i="12"/>
  <c r="AG92" i="12"/>
  <c r="AD92" i="12"/>
  <c r="AC92" i="12"/>
  <c r="AB92" i="12"/>
  <c r="W92" i="12"/>
  <c r="V92" i="12"/>
  <c r="T92" i="12"/>
  <c r="S92" i="12"/>
  <c r="R92" i="12"/>
  <c r="Q92" i="12"/>
  <c r="P92" i="12"/>
  <c r="O92" i="12"/>
  <c r="E92" i="12"/>
  <c r="D92" i="12"/>
  <c r="C92" i="12"/>
  <c r="AH91" i="12"/>
  <c r="AG91" i="12"/>
  <c r="AD91" i="12"/>
  <c r="AC91" i="12"/>
  <c r="AB91" i="12"/>
  <c r="W91" i="12"/>
  <c r="V91" i="12"/>
  <c r="T91" i="12"/>
  <c r="S91" i="12"/>
  <c r="R91" i="12"/>
  <c r="Q91" i="12"/>
  <c r="P91" i="12"/>
  <c r="O91" i="12"/>
  <c r="E91" i="12"/>
  <c r="D91" i="12"/>
  <c r="C91" i="12"/>
  <c r="AH90" i="12"/>
  <c r="AG90" i="12"/>
  <c r="AD90" i="12"/>
  <c r="AC90" i="12"/>
  <c r="AB90" i="12"/>
  <c r="W90" i="12"/>
  <c r="V90" i="12"/>
  <c r="T90" i="12"/>
  <c r="S90" i="12"/>
  <c r="R90" i="12"/>
  <c r="Q90" i="12"/>
  <c r="P90" i="12"/>
  <c r="O90" i="12"/>
  <c r="E90" i="12"/>
  <c r="D90" i="12"/>
  <c r="C90" i="12"/>
  <c r="AH89" i="12"/>
  <c r="AG89" i="12"/>
  <c r="AD89" i="12"/>
  <c r="AC89" i="12"/>
  <c r="AB89" i="12"/>
  <c r="W89" i="12"/>
  <c r="V89" i="12"/>
  <c r="T89" i="12"/>
  <c r="S89" i="12"/>
  <c r="R89" i="12"/>
  <c r="Q89" i="12"/>
  <c r="P89" i="12"/>
  <c r="O89" i="12"/>
  <c r="E89" i="12"/>
  <c r="D89" i="12"/>
  <c r="C89" i="12"/>
  <c r="AH88" i="12"/>
  <c r="AG88" i="12"/>
  <c r="AD88" i="12"/>
  <c r="AC88" i="12"/>
  <c r="AB88" i="12"/>
  <c r="W88" i="12"/>
  <c r="V88" i="12"/>
  <c r="T88" i="12"/>
  <c r="S88" i="12"/>
  <c r="R88" i="12"/>
  <c r="Q88" i="12"/>
  <c r="P88" i="12"/>
  <c r="O88" i="12"/>
  <c r="E88" i="12"/>
  <c r="D88" i="12"/>
  <c r="C88" i="12"/>
  <c r="AH87" i="12"/>
  <c r="AG87" i="12"/>
  <c r="AD87" i="12"/>
  <c r="AC87" i="12"/>
  <c r="AB87" i="12"/>
  <c r="W87" i="12"/>
  <c r="V87" i="12"/>
  <c r="T87" i="12"/>
  <c r="S87" i="12"/>
  <c r="R87" i="12"/>
  <c r="Q87" i="12"/>
  <c r="P87" i="12"/>
  <c r="O87" i="12"/>
  <c r="E87" i="12"/>
  <c r="D87" i="12"/>
  <c r="C87" i="12"/>
  <c r="AH86" i="12"/>
  <c r="AG86" i="12"/>
  <c r="AD86" i="12"/>
  <c r="AC86" i="12"/>
  <c r="AB86" i="12"/>
  <c r="W86" i="12"/>
  <c r="V86" i="12"/>
  <c r="T86" i="12"/>
  <c r="S86" i="12"/>
  <c r="R86" i="12"/>
  <c r="Q86" i="12"/>
  <c r="P86" i="12"/>
  <c r="O86" i="12"/>
  <c r="E86" i="12"/>
  <c r="D86" i="12"/>
  <c r="C86" i="12"/>
  <c r="AH85" i="12"/>
  <c r="AG85" i="12"/>
  <c r="AD85" i="12"/>
  <c r="AC85" i="12"/>
  <c r="AB85" i="12"/>
  <c r="W85" i="12"/>
  <c r="V85" i="12"/>
  <c r="T85" i="12"/>
  <c r="S85" i="12"/>
  <c r="R85" i="12"/>
  <c r="Q85" i="12"/>
  <c r="P85" i="12"/>
  <c r="O85" i="12"/>
  <c r="E85" i="12"/>
  <c r="D85" i="12"/>
  <c r="C85" i="12"/>
  <c r="AH84" i="12"/>
  <c r="AG84" i="12"/>
  <c r="AD84" i="12"/>
  <c r="AC84" i="12"/>
  <c r="AB84" i="12"/>
  <c r="W84" i="12"/>
  <c r="V84" i="12"/>
  <c r="T84" i="12"/>
  <c r="S84" i="12"/>
  <c r="R84" i="12"/>
  <c r="Q84" i="12"/>
  <c r="P84" i="12"/>
  <c r="O84" i="12"/>
  <c r="E84" i="12"/>
  <c r="D84" i="12"/>
  <c r="C84" i="12"/>
  <c r="AH83" i="12"/>
  <c r="AG83" i="12"/>
  <c r="AD83" i="12"/>
  <c r="AC83" i="12"/>
  <c r="AB83" i="12"/>
  <c r="W83" i="12"/>
  <c r="V83" i="12"/>
  <c r="T83" i="12"/>
  <c r="S83" i="12"/>
  <c r="R83" i="12"/>
  <c r="Q83" i="12"/>
  <c r="P83" i="12"/>
  <c r="O83" i="12"/>
  <c r="E83" i="12"/>
  <c r="D83" i="12"/>
  <c r="C83" i="12"/>
  <c r="AH82" i="12"/>
  <c r="AG82" i="12"/>
  <c r="AD82" i="12"/>
  <c r="AC82" i="12"/>
  <c r="AB82" i="12"/>
  <c r="W82" i="12"/>
  <c r="V82" i="12"/>
  <c r="T82" i="12"/>
  <c r="S82" i="12"/>
  <c r="R82" i="12"/>
  <c r="Q82" i="12"/>
  <c r="P82" i="12"/>
  <c r="O82" i="12"/>
  <c r="E82" i="12"/>
  <c r="D82" i="12"/>
  <c r="C82" i="12"/>
  <c r="AH81" i="12"/>
  <c r="AG81" i="12"/>
  <c r="AD81" i="12"/>
  <c r="AC81" i="12"/>
  <c r="AB81" i="12"/>
  <c r="W81" i="12"/>
  <c r="V81" i="12"/>
  <c r="T81" i="12"/>
  <c r="S81" i="12"/>
  <c r="R81" i="12"/>
  <c r="Q81" i="12"/>
  <c r="P81" i="12"/>
  <c r="O81" i="12"/>
  <c r="E81" i="12"/>
  <c r="D81" i="12"/>
  <c r="C81" i="12"/>
  <c r="AH80" i="12"/>
  <c r="AG80" i="12"/>
  <c r="AD80" i="12"/>
  <c r="AC80" i="12"/>
  <c r="AB80" i="12"/>
  <c r="W80" i="12"/>
  <c r="V80" i="12"/>
  <c r="T80" i="12"/>
  <c r="S80" i="12"/>
  <c r="R80" i="12"/>
  <c r="Q80" i="12"/>
  <c r="P80" i="12"/>
  <c r="O80" i="12"/>
  <c r="E80" i="12"/>
  <c r="D80" i="12"/>
  <c r="C80" i="12"/>
  <c r="AH79" i="12"/>
  <c r="AG79" i="12"/>
  <c r="AD79" i="12"/>
  <c r="AC79" i="12"/>
  <c r="AB79" i="12"/>
  <c r="W79" i="12"/>
  <c r="V79" i="12"/>
  <c r="T79" i="12"/>
  <c r="S79" i="12"/>
  <c r="R79" i="12"/>
  <c r="Q79" i="12"/>
  <c r="P79" i="12"/>
  <c r="O79" i="12"/>
  <c r="E79" i="12"/>
  <c r="D79" i="12"/>
  <c r="C79" i="12"/>
  <c r="AH78" i="12"/>
  <c r="AG78" i="12"/>
  <c r="AD78" i="12"/>
  <c r="AC78" i="12"/>
  <c r="AB78" i="12"/>
  <c r="W78" i="12"/>
  <c r="V78" i="12"/>
  <c r="T78" i="12"/>
  <c r="S78" i="12"/>
  <c r="R78" i="12"/>
  <c r="Q78" i="12"/>
  <c r="P78" i="12"/>
  <c r="O78" i="12"/>
  <c r="E78" i="12"/>
  <c r="D78" i="12"/>
  <c r="C78" i="12"/>
  <c r="AH77" i="12"/>
  <c r="AG77" i="12"/>
  <c r="AD77" i="12"/>
  <c r="AC77" i="12"/>
  <c r="AB77" i="12"/>
  <c r="W77" i="12"/>
  <c r="V77" i="12"/>
  <c r="T77" i="12"/>
  <c r="S77" i="12"/>
  <c r="R77" i="12"/>
  <c r="Q77" i="12"/>
  <c r="P77" i="12"/>
  <c r="O77" i="12"/>
  <c r="E77" i="12"/>
  <c r="D77" i="12"/>
  <c r="C77" i="12"/>
  <c r="AH76" i="12"/>
  <c r="AG76" i="12"/>
  <c r="AD76" i="12"/>
  <c r="AC76" i="12"/>
  <c r="AB76" i="12"/>
  <c r="W76" i="12"/>
  <c r="V76" i="12"/>
  <c r="T76" i="12"/>
  <c r="S76" i="12"/>
  <c r="R76" i="12"/>
  <c r="Q76" i="12"/>
  <c r="P76" i="12"/>
  <c r="O76" i="12"/>
  <c r="E76" i="12"/>
  <c r="D76" i="12"/>
  <c r="C76" i="12"/>
  <c r="AH75" i="12"/>
  <c r="AG75" i="12"/>
  <c r="AD75" i="12"/>
  <c r="AC75" i="12"/>
  <c r="AB75" i="12"/>
  <c r="W75" i="12"/>
  <c r="V75" i="12"/>
  <c r="T75" i="12"/>
  <c r="S75" i="12"/>
  <c r="R75" i="12"/>
  <c r="Q75" i="12"/>
  <c r="P75" i="12"/>
  <c r="O75" i="12"/>
  <c r="E75" i="12"/>
  <c r="D75" i="12"/>
  <c r="C75" i="12"/>
  <c r="AH74" i="12"/>
  <c r="AG74" i="12"/>
  <c r="AD74" i="12"/>
  <c r="AC74" i="12"/>
  <c r="AB74" i="12"/>
  <c r="W74" i="12"/>
  <c r="V74" i="12"/>
  <c r="T74" i="12"/>
  <c r="S74" i="12"/>
  <c r="R74" i="12"/>
  <c r="Q74" i="12"/>
  <c r="P74" i="12"/>
  <c r="O74" i="12"/>
  <c r="E74" i="12"/>
  <c r="D74" i="12"/>
  <c r="C74" i="12"/>
  <c r="AH73" i="12"/>
  <c r="AG73" i="12"/>
  <c r="AD73" i="12"/>
  <c r="AC73" i="12"/>
  <c r="AB73" i="12"/>
  <c r="W73" i="12"/>
  <c r="V73" i="12"/>
  <c r="T73" i="12"/>
  <c r="S73" i="12"/>
  <c r="R73" i="12"/>
  <c r="Q73" i="12"/>
  <c r="P73" i="12"/>
  <c r="O73" i="12"/>
  <c r="E73" i="12"/>
  <c r="D73" i="12"/>
  <c r="C73" i="12"/>
  <c r="AH72" i="12"/>
  <c r="AG72" i="12"/>
  <c r="AD72" i="12"/>
  <c r="AC72" i="12"/>
  <c r="AB72" i="12"/>
  <c r="W72" i="12"/>
  <c r="V72" i="12"/>
  <c r="T72" i="12"/>
  <c r="S72" i="12"/>
  <c r="R72" i="12"/>
  <c r="Q72" i="12"/>
  <c r="P72" i="12"/>
  <c r="O72" i="12"/>
  <c r="E72" i="12"/>
  <c r="D72" i="12"/>
  <c r="C72" i="12"/>
  <c r="AH71" i="12"/>
  <c r="AG71" i="12"/>
  <c r="AD71" i="12"/>
  <c r="AC71" i="12"/>
  <c r="AB71" i="12"/>
  <c r="W71" i="12"/>
  <c r="V71" i="12"/>
  <c r="T71" i="12"/>
  <c r="S71" i="12"/>
  <c r="R71" i="12"/>
  <c r="Q71" i="12"/>
  <c r="P71" i="12"/>
  <c r="O71" i="12"/>
  <c r="E71" i="12"/>
  <c r="D71" i="12"/>
  <c r="C71" i="12"/>
  <c r="AH70" i="12"/>
  <c r="AG70" i="12"/>
  <c r="AD70" i="12"/>
  <c r="AC70" i="12"/>
  <c r="AB70" i="12"/>
  <c r="W70" i="12"/>
  <c r="V70" i="12"/>
  <c r="T70" i="12"/>
  <c r="S70" i="12"/>
  <c r="R70" i="12"/>
  <c r="Q70" i="12"/>
  <c r="P70" i="12"/>
  <c r="O70" i="12"/>
  <c r="E70" i="12"/>
  <c r="D70" i="12"/>
  <c r="C70" i="12"/>
  <c r="AH69" i="12"/>
  <c r="AG69" i="12"/>
  <c r="AD69" i="12"/>
  <c r="AC69" i="12"/>
  <c r="AB69" i="12"/>
  <c r="W69" i="12"/>
  <c r="V69" i="12"/>
  <c r="T69" i="12"/>
  <c r="S69" i="12"/>
  <c r="R69" i="12"/>
  <c r="Q69" i="12"/>
  <c r="P69" i="12"/>
  <c r="O69" i="12"/>
  <c r="E69" i="12"/>
  <c r="D69" i="12"/>
  <c r="C69" i="12"/>
  <c r="AH68" i="12"/>
  <c r="AG68" i="12"/>
  <c r="AD68" i="12"/>
  <c r="AC68" i="12"/>
  <c r="AB68" i="12"/>
  <c r="W68" i="12"/>
  <c r="V68" i="12"/>
  <c r="T68" i="12"/>
  <c r="S68" i="12"/>
  <c r="R68" i="12"/>
  <c r="Q68" i="12"/>
  <c r="P68" i="12"/>
  <c r="O68" i="12"/>
  <c r="E68" i="12"/>
  <c r="D68" i="12"/>
  <c r="C68" i="12"/>
  <c r="AH67" i="12"/>
  <c r="AG67" i="12"/>
  <c r="AD67" i="12"/>
  <c r="AC67" i="12"/>
  <c r="AB67" i="12"/>
  <c r="W67" i="12"/>
  <c r="V67" i="12"/>
  <c r="T67" i="12"/>
  <c r="S67" i="12"/>
  <c r="R67" i="12"/>
  <c r="Q67" i="12"/>
  <c r="P67" i="12"/>
  <c r="O67" i="12"/>
  <c r="E67" i="12"/>
  <c r="D67" i="12"/>
  <c r="C67" i="12"/>
  <c r="AH66" i="12"/>
  <c r="AG66" i="12"/>
  <c r="AD66" i="12"/>
  <c r="AC66" i="12"/>
  <c r="AB66" i="12"/>
  <c r="W66" i="12"/>
  <c r="V66" i="12"/>
  <c r="T66" i="12"/>
  <c r="S66" i="12"/>
  <c r="R66" i="12"/>
  <c r="Q66" i="12"/>
  <c r="P66" i="12"/>
  <c r="O66" i="12"/>
  <c r="E66" i="12"/>
  <c r="D66" i="12"/>
  <c r="C66" i="12"/>
  <c r="AH65" i="12"/>
  <c r="AG65" i="12"/>
  <c r="AD65" i="12"/>
  <c r="AC65" i="12"/>
  <c r="AB65" i="12"/>
  <c r="W65" i="12"/>
  <c r="V65" i="12"/>
  <c r="T65" i="12"/>
  <c r="S65" i="12"/>
  <c r="R65" i="12"/>
  <c r="Q65" i="12"/>
  <c r="P65" i="12"/>
  <c r="O65" i="12"/>
  <c r="E65" i="12"/>
  <c r="D65" i="12"/>
  <c r="C65" i="12"/>
  <c r="AH64" i="12"/>
  <c r="AG64" i="12"/>
  <c r="AD64" i="12"/>
  <c r="AC64" i="12"/>
  <c r="AB64" i="12"/>
  <c r="W64" i="12"/>
  <c r="V64" i="12"/>
  <c r="T64" i="12"/>
  <c r="S64" i="12"/>
  <c r="R64" i="12"/>
  <c r="Q64" i="12"/>
  <c r="P64" i="12"/>
  <c r="O64" i="12"/>
  <c r="E64" i="12"/>
  <c r="D64" i="12"/>
  <c r="C64" i="12"/>
  <c r="AH63" i="12"/>
  <c r="AG63" i="12"/>
  <c r="AD63" i="12"/>
  <c r="AC63" i="12"/>
  <c r="AB63" i="12"/>
  <c r="W63" i="12"/>
  <c r="V63" i="12"/>
  <c r="T63" i="12"/>
  <c r="S63" i="12"/>
  <c r="R63" i="12"/>
  <c r="Q63" i="12"/>
  <c r="P63" i="12"/>
  <c r="O63" i="12"/>
  <c r="E63" i="12"/>
  <c r="D63" i="12"/>
  <c r="C63" i="12"/>
  <c r="AH62" i="12"/>
  <c r="AG62" i="12"/>
  <c r="AD62" i="12"/>
  <c r="AC62" i="12"/>
  <c r="AB62" i="12"/>
  <c r="W62" i="12"/>
  <c r="V62" i="12"/>
  <c r="T62" i="12"/>
  <c r="S62" i="12"/>
  <c r="R62" i="12"/>
  <c r="Q62" i="12"/>
  <c r="P62" i="12"/>
  <c r="O62" i="12"/>
  <c r="E62" i="12"/>
  <c r="D62" i="12"/>
  <c r="C62" i="12"/>
  <c r="AH61" i="12"/>
  <c r="AG61" i="12"/>
  <c r="AD61" i="12"/>
  <c r="AC61" i="12"/>
  <c r="AB61" i="12"/>
  <c r="W61" i="12"/>
  <c r="V61" i="12"/>
  <c r="T61" i="12"/>
  <c r="S61" i="12"/>
  <c r="R61" i="12"/>
  <c r="Q61" i="12"/>
  <c r="P61" i="12"/>
  <c r="O61" i="12"/>
  <c r="E61" i="12"/>
  <c r="D61" i="12"/>
  <c r="C61" i="12"/>
  <c r="AH60" i="12"/>
  <c r="AG60" i="12"/>
  <c r="AD60" i="12"/>
  <c r="AC60" i="12"/>
  <c r="AB60" i="12"/>
  <c r="W60" i="12"/>
  <c r="V60" i="12"/>
  <c r="T60" i="12"/>
  <c r="S60" i="12"/>
  <c r="R60" i="12"/>
  <c r="Q60" i="12"/>
  <c r="P60" i="12"/>
  <c r="O60" i="12"/>
  <c r="E60" i="12"/>
  <c r="D60" i="12"/>
  <c r="C60" i="12"/>
  <c r="AH59" i="12"/>
  <c r="AG59" i="12"/>
  <c r="AD59" i="12"/>
  <c r="AC59" i="12"/>
  <c r="AB59" i="12"/>
  <c r="W59" i="12"/>
  <c r="V59" i="12"/>
  <c r="T59" i="12"/>
  <c r="S59" i="12"/>
  <c r="R59" i="12"/>
  <c r="Q59" i="12"/>
  <c r="P59" i="12"/>
  <c r="O59" i="12"/>
  <c r="E59" i="12"/>
  <c r="D59" i="12"/>
  <c r="C59" i="12"/>
  <c r="AH58" i="12"/>
  <c r="AG58" i="12"/>
  <c r="AD58" i="12"/>
  <c r="AC58" i="12"/>
  <c r="AB58" i="12"/>
  <c r="W58" i="12"/>
  <c r="V58" i="12"/>
  <c r="T58" i="12"/>
  <c r="S58" i="12"/>
  <c r="R58" i="12"/>
  <c r="Q58" i="12"/>
  <c r="P58" i="12"/>
  <c r="O58" i="12"/>
  <c r="E58" i="12"/>
  <c r="D58" i="12"/>
  <c r="C58" i="12"/>
  <c r="AH57" i="12"/>
  <c r="AG57" i="12"/>
  <c r="AD57" i="12"/>
  <c r="AC57" i="12"/>
  <c r="AB57" i="12"/>
  <c r="W57" i="12"/>
  <c r="V57" i="12"/>
  <c r="T57" i="12"/>
  <c r="S57" i="12"/>
  <c r="R57" i="12"/>
  <c r="Q57" i="12"/>
  <c r="P57" i="12"/>
  <c r="O57" i="12"/>
  <c r="E57" i="12"/>
  <c r="D57" i="12"/>
  <c r="C57" i="12"/>
  <c r="AH56" i="12"/>
  <c r="AG56" i="12"/>
  <c r="AD56" i="12"/>
  <c r="AC56" i="12"/>
  <c r="AB56" i="12"/>
  <c r="W56" i="12"/>
  <c r="V56" i="12"/>
  <c r="T56" i="12"/>
  <c r="S56" i="12"/>
  <c r="R56" i="12"/>
  <c r="Q56" i="12"/>
  <c r="P56" i="12"/>
  <c r="O56" i="12"/>
  <c r="E56" i="12"/>
  <c r="D56" i="12"/>
  <c r="C56" i="12"/>
  <c r="AH55" i="12"/>
  <c r="AG55" i="12"/>
  <c r="AD55" i="12"/>
  <c r="AC55" i="12"/>
  <c r="AB55" i="12"/>
  <c r="W55" i="12"/>
  <c r="V55" i="12"/>
  <c r="T55" i="12"/>
  <c r="S55" i="12"/>
  <c r="R55" i="12"/>
  <c r="Q55" i="12"/>
  <c r="P55" i="12"/>
  <c r="O55" i="12"/>
  <c r="E55" i="12"/>
  <c r="D55" i="12"/>
  <c r="C55" i="12"/>
  <c r="AH54" i="12"/>
  <c r="AG54" i="12"/>
  <c r="AD54" i="12"/>
  <c r="AC54" i="12"/>
  <c r="AB54" i="12"/>
  <c r="W54" i="12"/>
  <c r="V54" i="12"/>
  <c r="T54" i="12"/>
  <c r="S54" i="12"/>
  <c r="R54" i="12"/>
  <c r="Q54" i="12"/>
  <c r="P54" i="12"/>
  <c r="O54" i="12"/>
  <c r="E54" i="12"/>
  <c r="D54" i="12"/>
  <c r="C54" i="12"/>
  <c r="AH53" i="12"/>
  <c r="AG53" i="12"/>
  <c r="AD53" i="12"/>
  <c r="AC53" i="12"/>
  <c r="AB53" i="12"/>
  <c r="W53" i="12"/>
  <c r="V53" i="12"/>
  <c r="T53" i="12"/>
  <c r="S53" i="12"/>
  <c r="R53" i="12"/>
  <c r="Q53" i="12"/>
  <c r="P53" i="12"/>
  <c r="O53" i="12"/>
  <c r="E53" i="12"/>
  <c r="D53" i="12"/>
  <c r="C53" i="12"/>
  <c r="AH52" i="12"/>
  <c r="AG52" i="12"/>
  <c r="AD52" i="12"/>
  <c r="AC52" i="12"/>
  <c r="AB52" i="12"/>
  <c r="W52" i="12"/>
  <c r="V52" i="12"/>
  <c r="T52" i="12"/>
  <c r="S52" i="12"/>
  <c r="R52" i="12"/>
  <c r="Q52" i="12"/>
  <c r="P52" i="12"/>
  <c r="O52" i="12"/>
  <c r="E52" i="12"/>
  <c r="D52" i="12"/>
  <c r="C52" i="12"/>
  <c r="AH51" i="12"/>
  <c r="AG51" i="12"/>
  <c r="AD51" i="12"/>
  <c r="AC51" i="12"/>
  <c r="AB51" i="12"/>
  <c r="W51" i="12"/>
  <c r="V51" i="12"/>
  <c r="T51" i="12"/>
  <c r="S51" i="12"/>
  <c r="R51" i="12"/>
  <c r="Q51" i="12"/>
  <c r="P51" i="12"/>
  <c r="O51" i="12"/>
  <c r="E51" i="12"/>
  <c r="D51" i="12"/>
  <c r="C51" i="12"/>
  <c r="AH50" i="12"/>
  <c r="AG50" i="12"/>
  <c r="AD50" i="12"/>
  <c r="AC50" i="12"/>
  <c r="AB50" i="12"/>
  <c r="W50" i="12"/>
  <c r="V50" i="12"/>
  <c r="T50" i="12"/>
  <c r="S50" i="12"/>
  <c r="R50" i="12"/>
  <c r="Q50" i="12"/>
  <c r="P50" i="12"/>
  <c r="O50" i="12"/>
  <c r="E50" i="12"/>
  <c r="D50" i="12"/>
  <c r="C50" i="12"/>
  <c r="AH49" i="12"/>
  <c r="AG49" i="12"/>
  <c r="AD49" i="12"/>
  <c r="AC49" i="12"/>
  <c r="AB49" i="12"/>
  <c r="W49" i="12"/>
  <c r="V49" i="12"/>
  <c r="T49" i="12"/>
  <c r="S49" i="12"/>
  <c r="R49" i="12"/>
  <c r="Q49" i="12"/>
  <c r="P49" i="12"/>
  <c r="O49" i="12"/>
  <c r="E49" i="12"/>
  <c r="D49" i="12"/>
  <c r="C49" i="12"/>
  <c r="AH48" i="12"/>
  <c r="AG48" i="12"/>
  <c r="AD48" i="12"/>
  <c r="AC48" i="12"/>
  <c r="AB48" i="12"/>
  <c r="W48" i="12"/>
  <c r="V48" i="12"/>
  <c r="T48" i="12"/>
  <c r="S48" i="12"/>
  <c r="R48" i="12"/>
  <c r="Q48" i="12"/>
  <c r="P48" i="12"/>
  <c r="O48" i="12"/>
  <c r="E48" i="12"/>
  <c r="D48" i="12"/>
  <c r="C48" i="12"/>
  <c r="AH47" i="12"/>
  <c r="AG47" i="12"/>
  <c r="AD47" i="12"/>
  <c r="AC47" i="12"/>
  <c r="AB47" i="12"/>
  <c r="W47" i="12"/>
  <c r="V47" i="12"/>
  <c r="T47" i="12"/>
  <c r="S47" i="12"/>
  <c r="R47" i="12"/>
  <c r="Q47" i="12"/>
  <c r="P47" i="12"/>
  <c r="O47" i="12"/>
  <c r="E47" i="12"/>
  <c r="D47" i="12"/>
  <c r="C47" i="12"/>
  <c r="AH46" i="12"/>
  <c r="AG46" i="12"/>
  <c r="AD46" i="12"/>
  <c r="AC46" i="12"/>
  <c r="AB46" i="12"/>
  <c r="W46" i="12"/>
  <c r="V46" i="12"/>
  <c r="T46" i="12"/>
  <c r="S46" i="12"/>
  <c r="R46" i="12"/>
  <c r="Q46" i="12"/>
  <c r="P46" i="12"/>
  <c r="O46" i="12"/>
  <c r="E46" i="12"/>
  <c r="D46" i="12"/>
  <c r="C46" i="12"/>
  <c r="AH45" i="12"/>
  <c r="AG45" i="12"/>
  <c r="AD45" i="12"/>
  <c r="AC45" i="12"/>
  <c r="AB45" i="12"/>
  <c r="W45" i="12"/>
  <c r="V45" i="12"/>
  <c r="T45" i="12"/>
  <c r="S45" i="12"/>
  <c r="R45" i="12"/>
  <c r="Q45" i="12"/>
  <c r="P45" i="12"/>
  <c r="O45" i="12"/>
  <c r="E45" i="12"/>
  <c r="D45" i="12"/>
  <c r="C45" i="12"/>
  <c r="AH44" i="12"/>
  <c r="AG44" i="12"/>
  <c r="AD44" i="12"/>
  <c r="AC44" i="12"/>
  <c r="AB44" i="12"/>
  <c r="W44" i="12"/>
  <c r="V44" i="12"/>
  <c r="T44" i="12"/>
  <c r="S44" i="12"/>
  <c r="R44" i="12"/>
  <c r="Q44" i="12"/>
  <c r="P44" i="12"/>
  <c r="O44" i="12"/>
  <c r="E44" i="12"/>
  <c r="D44" i="12"/>
  <c r="C44" i="12"/>
  <c r="AH43" i="12"/>
  <c r="AG43" i="12"/>
  <c r="AD43" i="12"/>
  <c r="AC43" i="12"/>
  <c r="AB43" i="12"/>
  <c r="W43" i="12"/>
  <c r="V43" i="12"/>
  <c r="T43" i="12"/>
  <c r="S43" i="12"/>
  <c r="R43" i="12"/>
  <c r="Q43" i="12"/>
  <c r="P43" i="12"/>
  <c r="O43" i="12"/>
  <c r="E43" i="12"/>
  <c r="D43" i="12"/>
  <c r="C43" i="12"/>
  <c r="AH42" i="12"/>
  <c r="AG42" i="12"/>
  <c r="AD42" i="12"/>
  <c r="AC42" i="12"/>
  <c r="AB42" i="12"/>
  <c r="W42" i="12"/>
  <c r="V42" i="12"/>
  <c r="T42" i="12"/>
  <c r="S42" i="12"/>
  <c r="R42" i="12"/>
  <c r="Q42" i="12"/>
  <c r="P42" i="12"/>
  <c r="O42" i="12"/>
  <c r="E42" i="12"/>
  <c r="D42" i="12"/>
  <c r="C42" i="12"/>
  <c r="AH41" i="12"/>
  <c r="AG41" i="12"/>
  <c r="AD41" i="12"/>
  <c r="AC41" i="12"/>
  <c r="AB41" i="12"/>
  <c r="W41" i="12"/>
  <c r="V41" i="12"/>
  <c r="T41" i="12"/>
  <c r="S41" i="12"/>
  <c r="R41" i="12"/>
  <c r="Q41" i="12"/>
  <c r="P41" i="12"/>
  <c r="O41" i="12"/>
  <c r="E41" i="12"/>
  <c r="D41" i="12"/>
  <c r="C41" i="12"/>
  <c r="AH40" i="12"/>
  <c r="AG40" i="12"/>
  <c r="AD40" i="12"/>
  <c r="AC40" i="12"/>
  <c r="AB40" i="12"/>
  <c r="W40" i="12"/>
  <c r="V40" i="12"/>
  <c r="T40" i="12"/>
  <c r="S40" i="12"/>
  <c r="R40" i="12"/>
  <c r="Q40" i="12"/>
  <c r="P40" i="12"/>
  <c r="O40" i="12"/>
  <c r="E40" i="12"/>
  <c r="D40" i="12"/>
  <c r="C40" i="12"/>
  <c r="AH39" i="12"/>
  <c r="AG39" i="12"/>
  <c r="AD39" i="12"/>
  <c r="AC39" i="12"/>
  <c r="AB39" i="12"/>
  <c r="W39" i="12"/>
  <c r="V39" i="12"/>
  <c r="T39" i="12"/>
  <c r="S39" i="12"/>
  <c r="R39" i="12"/>
  <c r="Q39" i="12"/>
  <c r="P39" i="12"/>
  <c r="O39" i="12"/>
  <c r="E39" i="12"/>
  <c r="D39" i="12"/>
  <c r="C39" i="12"/>
  <c r="AH38" i="12"/>
  <c r="AG38" i="12"/>
  <c r="AD38" i="12"/>
  <c r="AC38" i="12"/>
  <c r="AB38" i="12"/>
  <c r="W38" i="12"/>
  <c r="V38" i="12"/>
  <c r="T38" i="12"/>
  <c r="S38" i="12"/>
  <c r="R38" i="12"/>
  <c r="Q38" i="12"/>
  <c r="P38" i="12"/>
  <c r="O38" i="12"/>
  <c r="E38" i="12"/>
  <c r="D38" i="12"/>
  <c r="C38" i="12"/>
  <c r="AH37" i="12"/>
  <c r="AG37" i="12"/>
  <c r="AD37" i="12"/>
  <c r="AC37" i="12"/>
  <c r="AB37" i="12"/>
  <c r="W37" i="12"/>
  <c r="V37" i="12"/>
  <c r="T37" i="12"/>
  <c r="S37" i="12"/>
  <c r="R37" i="12"/>
  <c r="Q37" i="12"/>
  <c r="P37" i="12"/>
  <c r="O37" i="12"/>
  <c r="E37" i="12"/>
  <c r="D37" i="12"/>
  <c r="C37" i="12"/>
  <c r="AH36" i="12"/>
  <c r="AG36" i="12"/>
  <c r="AD36" i="12"/>
  <c r="AC36" i="12"/>
  <c r="AB36" i="12"/>
  <c r="W36" i="12"/>
  <c r="V36" i="12"/>
  <c r="T36" i="12"/>
  <c r="S36" i="12"/>
  <c r="R36" i="12"/>
  <c r="Q36" i="12"/>
  <c r="P36" i="12"/>
  <c r="O36" i="12"/>
  <c r="E36" i="12"/>
  <c r="D36" i="12"/>
  <c r="C36" i="12"/>
  <c r="AH35" i="12"/>
  <c r="AG35" i="12"/>
  <c r="AD35" i="12"/>
  <c r="AC35" i="12"/>
  <c r="AB35" i="12"/>
  <c r="W35" i="12"/>
  <c r="V35" i="12"/>
  <c r="T35" i="12"/>
  <c r="S35" i="12"/>
  <c r="R35" i="12"/>
  <c r="Q35" i="12"/>
  <c r="P35" i="12"/>
  <c r="O35" i="12"/>
  <c r="E35" i="12"/>
  <c r="D35" i="12"/>
  <c r="C35" i="12"/>
  <c r="AH34" i="12"/>
  <c r="AG34" i="12"/>
  <c r="AD34" i="12"/>
  <c r="AC34" i="12"/>
  <c r="AB34" i="12"/>
  <c r="W34" i="12"/>
  <c r="V34" i="12"/>
  <c r="T34" i="12"/>
  <c r="S34" i="12"/>
  <c r="R34" i="12"/>
  <c r="Q34" i="12"/>
  <c r="P34" i="12"/>
  <c r="O34" i="12"/>
  <c r="E34" i="12"/>
  <c r="D34" i="12"/>
  <c r="C34" i="12"/>
  <c r="AH33" i="12"/>
  <c r="AG33" i="12"/>
  <c r="AD33" i="12"/>
  <c r="AC33" i="12"/>
  <c r="AB33" i="12"/>
  <c r="W33" i="12"/>
  <c r="V33" i="12"/>
  <c r="T33" i="12"/>
  <c r="S33" i="12"/>
  <c r="R33" i="12"/>
  <c r="Q33" i="12"/>
  <c r="P33" i="12"/>
  <c r="O33" i="12"/>
  <c r="E33" i="12"/>
  <c r="D33" i="12"/>
  <c r="C33" i="12"/>
  <c r="AH32" i="12"/>
  <c r="AG32" i="12"/>
  <c r="AD32" i="12"/>
  <c r="AC32" i="12"/>
  <c r="AB32" i="12"/>
  <c r="W32" i="12"/>
  <c r="V32" i="12"/>
  <c r="T32" i="12"/>
  <c r="S32" i="12"/>
  <c r="R32" i="12"/>
  <c r="Q32" i="12"/>
  <c r="P32" i="12"/>
  <c r="O32" i="12"/>
  <c r="E32" i="12"/>
  <c r="D32" i="12"/>
  <c r="C32" i="12"/>
  <c r="AH31" i="12"/>
  <c r="AG31" i="12"/>
  <c r="AD31" i="12"/>
  <c r="AC31" i="12"/>
  <c r="AB31" i="12"/>
  <c r="W31" i="12"/>
  <c r="V31" i="12"/>
  <c r="T31" i="12"/>
  <c r="S31" i="12"/>
  <c r="R31" i="12"/>
  <c r="Q31" i="12"/>
  <c r="P31" i="12"/>
  <c r="O31" i="12"/>
  <c r="E31" i="12"/>
  <c r="D31" i="12"/>
  <c r="C31" i="12"/>
  <c r="AH30" i="12"/>
  <c r="AG30" i="12"/>
  <c r="AD30" i="12"/>
  <c r="AC30" i="12"/>
  <c r="AB30" i="12"/>
  <c r="W30" i="12"/>
  <c r="V30" i="12"/>
  <c r="T30" i="12"/>
  <c r="S30" i="12"/>
  <c r="R30" i="12"/>
  <c r="Q30" i="12"/>
  <c r="P30" i="12"/>
  <c r="O30" i="12"/>
  <c r="E30" i="12"/>
  <c r="D30" i="12"/>
  <c r="C30" i="12"/>
  <c r="AH29" i="12"/>
  <c r="AG29" i="12"/>
  <c r="AD29" i="12"/>
  <c r="AC29" i="12"/>
  <c r="AB29" i="12"/>
  <c r="W29" i="12"/>
  <c r="V29" i="12"/>
  <c r="T29" i="12"/>
  <c r="S29" i="12"/>
  <c r="R29" i="12"/>
  <c r="Q29" i="12"/>
  <c r="P29" i="12"/>
  <c r="O29" i="12"/>
  <c r="E29" i="12"/>
  <c r="D29" i="12"/>
  <c r="C29" i="12"/>
  <c r="AH28" i="12"/>
  <c r="AG28" i="12"/>
  <c r="AD28" i="12"/>
  <c r="AC28" i="12"/>
  <c r="AB28" i="12"/>
  <c r="W28" i="12"/>
  <c r="V28" i="12"/>
  <c r="T28" i="12"/>
  <c r="S28" i="12"/>
  <c r="R28" i="12"/>
  <c r="Q28" i="12"/>
  <c r="P28" i="12"/>
  <c r="O28" i="12"/>
  <c r="E28" i="12"/>
  <c r="D28" i="12"/>
  <c r="C28" i="12"/>
  <c r="AH27" i="12"/>
  <c r="AG27" i="12"/>
  <c r="AD27" i="12"/>
  <c r="AC27" i="12"/>
  <c r="AB27" i="12"/>
  <c r="W27" i="12"/>
  <c r="V27" i="12"/>
  <c r="T27" i="12"/>
  <c r="S27" i="12"/>
  <c r="R27" i="12"/>
  <c r="Q27" i="12"/>
  <c r="P27" i="12"/>
  <c r="O27" i="12"/>
  <c r="E27" i="12"/>
  <c r="D27" i="12"/>
  <c r="C27" i="12"/>
  <c r="AH26" i="12"/>
  <c r="AG26" i="12"/>
  <c r="AD26" i="12"/>
  <c r="AC26" i="12"/>
  <c r="AB26" i="12"/>
  <c r="W26" i="12"/>
  <c r="V26" i="12"/>
  <c r="T26" i="12"/>
  <c r="S26" i="12"/>
  <c r="R26" i="12"/>
  <c r="Q26" i="12"/>
  <c r="P26" i="12"/>
  <c r="O26" i="12"/>
  <c r="E26" i="12"/>
  <c r="D26" i="12"/>
  <c r="C26" i="12"/>
  <c r="AH25" i="12"/>
  <c r="AG25" i="12"/>
  <c r="AD25" i="12"/>
  <c r="AC25" i="12"/>
  <c r="AB25" i="12"/>
  <c r="W25" i="12"/>
  <c r="V25" i="12"/>
  <c r="T25" i="12"/>
  <c r="S25" i="12"/>
  <c r="R25" i="12"/>
  <c r="Q25" i="12"/>
  <c r="P25" i="12"/>
  <c r="O25" i="12"/>
  <c r="E25" i="12"/>
  <c r="D25" i="12"/>
  <c r="C25" i="12"/>
  <c r="AH24" i="12"/>
  <c r="AG24" i="12"/>
  <c r="AD24" i="12"/>
  <c r="AC24" i="12"/>
  <c r="AB24" i="12"/>
  <c r="W24" i="12"/>
  <c r="V24" i="12"/>
  <c r="T24" i="12"/>
  <c r="S24" i="12"/>
  <c r="R24" i="12"/>
  <c r="Q24" i="12"/>
  <c r="P24" i="12"/>
  <c r="O24" i="12"/>
  <c r="E24" i="12"/>
  <c r="D24" i="12"/>
  <c r="C24" i="12"/>
  <c r="AH23" i="12"/>
  <c r="AG23" i="12"/>
  <c r="AD23" i="12"/>
  <c r="AC23" i="12"/>
  <c r="AB23" i="12"/>
  <c r="W23" i="12"/>
  <c r="V23" i="12"/>
  <c r="T23" i="12"/>
  <c r="S23" i="12"/>
  <c r="R23" i="12"/>
  <c r="Q23" i="12"/>
  <c r="P23" i="12"/>
  <c r="O23" i="12"/>
  <c r="E23" i="12"/>
  <c r="D23" i="12"/>
  <c r="C23" i="12"/>
  <c r="AH22" i="12"/>
  <c r="AG22" i="12"/>
  <c r="AD22" i="12"/>
  <c r="AC22" i="12"/>
  <c r="AB22" i="12"/>
  <c r="W22" i="12"/>
  <c r="V22" i="12"/>
  <c r="T22" i="12"/>
  <c r="S22" i="12"/>
  <c r="R22" i="12"/>
  <c r="Q22" i="12"/>
  <c r="P22" i="12"/>
  <c r="O22" i="12"/>
  <c r="E22" i="12"/>
  <c r="D22" i="12"/>
  <c r="C22" i="12"/>
  <c r="AH21" i="12"/>
  <c r="AG21" i="12"/>
  <c r="AD21" i="12"/>
  <c r="AC21" i="12"/>
  <c r="AB21" i="12"/>
  <c r="W21" i="12"/>
  <c r="V21" i="12"/>
  <c r="T21" i="12"/>
  <c r="S21" i="12"/>
  <c r="R21" i="12"/>
  <c r="Q21" i="12"/>
  <c r="P21" i="12"/>
  <c r="O21" i="12"/>
  <c r="E21" i="12"/>
  <c r="D21" i="12"/>
  <c r="C21" i="12"/>
  <c r="AH20" i="12"/>
  <c r="AG20" i="12"/>
  <c r="AD20" i="12"/>
  <c r="AC20" i="12"/>
  <c r="AB20" i="12"/>
  <c r="W20" i="12"/>
  <c r="V20" i="12"/>
  <c r="T20" i="12"/>
  <c r="S20" i="12"/>
  <c r="R20" i="12"/>
  <c r="Q20" i="12"/>
  <c r="P20" i="12"/>
  <c r="O20" i="12"/>
  <c r="E20" i="12"/>
  <c r="D20" i="12"/>
  <c r="C20" i="12"/>
  <c r="AH19" i="12"/>
  <c r="AG19" i="12"/>
  <c r="AD19" i="12"/>
  <c r="AC19" i="12"/>
  <c r="AB19" i="12"/>
  <c r="W19" i="12"/>
  <c r="V19" i="12"/>
  <c r="T19" i="12"/>
  <c r="S19" i="12"/>
  <c r="R19" i="12"/>
  <c r="Q19" i="12"/>
  <c r="P19" i="12"/>
  <c r="O19" i="12"/>
  <c r="E19" i="12"/>
  <c r="D19" i="12"/>
  <c r="C19" i="12"/>
  <c r="AH18" i="12"/>
  <c r="AG18" i="12"/>
  <c r="AD18" i="12"/>
  <c r="AC18" i="12"/>
  <c r="AB18" i="12"/>
  <c r="W18" i="12"/>
  <c r="V18" i="12"/>
  <c r="T18" i="12"/>
  <c r="S18" i="12"/>
  <c r="R18" i="12"/>
  <c r="Q18" i="12"/>
  <c r="P18" i="12"/>
  <c r="O18" i="12"/>
  <c r="E18" i="12"/>
  <c r="D18" i="12"/>
  <c r="C18" i="12"/>
  <c r="AH17" i="12"/>
  <c r="AG17" i="12"/>
  <c r="AD17" i="12"/>
  <c r="AC17" i="12"/>
  <c r="AB17" i="12"/>
  <c r="W17" i="12"/>
  <c r="V17" i="12"/>
  <c r="T17" i="12"/>
  <c r="S17" i="12"/>
  <c r="R17" i="12"/>
  <c r="Q17" i="12"/>
  <c r="P17" i="12"/>
  <c r="O17" i="12"/>
  <c r="E17" i="12"/>
  <c r="D17" i="12"/>
  <c r="C17" i="12"/>
  <c r="AH16" i="12"/>
  <c r="AG16" i="12"/>
  <c r="AD16" i="12"/>
  <c r="AC16" i="12"/>
  <c r="AB16" i="12"/>
  <c r="W16" i="12"/>
  <c r="V16" i="12"/>
  <c r="T16" i="12"/>
  <c r="S16" i="12"/>
  <c r="R16" i="12"/>
  <c r="Q16" i="12"/>
  <c r="P16" i="12"/>
  <c r="O16" i="12"/>
  <c r="E16" i="12"/>
  <c r="D16" i="12"/>
  <c r="C16" i="12"/>
  <c r="AH15" i="12"/>
  <c r="AG15" i="12"/>
  <c r="AD15" i="12"/>
  <c r="AC15" i="12"/>
  <c r="AB15" i="12"/>
  <c r="W15" i="12"/>
  <c r="V15" i="12"/>
  <c r="T15" i="12"/>
  <c r="S15" i="12"/>
  <c r="R15" i="12"/>
  <c r="Q15" i="12"/>
  <c r="P15" i="12"/>
  <c r="O15" i="12"/>
  <c r="E15" i="12"/>
  <c r="D15" i="12"/>
  <c r="C15" i="12"/>
  <c r="AH14" i="12"/>
  <c r="AG14" i="12"/>
  <c r="AD14" i="12"/>
  <c r="AC14" i="12"/>
  <c r="AB14" i="12"/>
  <c r="W14" i="12"/>
  <c r="V14" i="12"/>
  <c r="T14" i="12"/>
  <c r="S14" i="12"/>
  <c r="R14" i="12"/>
  <c r="Q14" i="12"/>
  <c r="P14" i="12"/>
  <c r="O14" i="12"/>
  <c r="E14" i="12"/>
  <c r="D14" i="12"/>
  <c r="C14" i="12"/>
  <c r="AH13" i="12"/>
  <c r="AG13" i="12"/>
  <c r="AD13" i="12"/>
  <c r="AC13" i="12"/>
  <c r="AB13" i="12"/>
  <c r="W13" i="12"/>
  <c r="V13" i="12"/>
  <c r="T13" i="12"/>
  <c r="S13" i="12"/>
  <c r="R13" i="12"/>
  <c r="Q13" i="12"/>
  <c r="P13" i="12"/>
  <c r="O13" i="12"/>
  <c r="E13" i="12"/>
  <c r="D13" i="12"/>
  <c r="C13" i="12"/>
  <c r="AH12" i="12"/>
  <c r="AG12" i="12"/>
  <c r="AD12" i="12"/>
  <c r="AC12" i="12"/>
  <c r="AB12" i="12"/>
  <c r="W12" i="12"/>
  <c r="V12" i="12"/>
  <c r="T12" i="12"/>
  <c r="S12" i="12"/>
  <c r="R12" i="12"/>
  <c r="Q12" i="12"/>
  <c r="P12" i="12"/>
  <c r="O12" i="12"/>
  <c r="E12" i="12"/>
  <c r="D12" i="12"/>
  <c r="C12" i="12"/>
  <c r="AH11" i="12"/>
  <c r="AG11" i="12"/>
  <c r="AD11" i="12"/>
  <c r="AC11" i="12"/>
  <c r="AB11" i="12"/>
  <c r="W11" i="12"/>
  <c r="V11" i="12"/>
  <c r="T11" i="12"/>
  <c r="S11" i="12"/>
  <c r="R11" i="12"/>
  <c r="Q11" i="12"/>
  <c r="P11" i="12"/>
  <c r="O11" i="12"/>
  <c r="E11" i="12"/>
  <c r="D11" i="12"/>
  <c r="C11" i="12"/>
  <c r="AH10" i="12"/>
  <c r="AG10" i="12"/>
  <c r="AD10" i="12"/>
  <c r="AC10" i="12"/>
  <c r="AB10" i="12"/>
  <c r="W10" i="12"/>
  <c r="V10" i="12"/>
  <c r="T10" i="12"/>
  <c r="S10" i="12"/>
  <c r="R10" i="12"/>
  <c r="Q10" i="12"/>
  <c r="P10" i="12"/>
  <c r="O10" i="12"/>
  <c r="E10" i="12"/>
  <c r="D10" i="12"/>
  <c r="C10" i="12"/>
  <c r="AH120" i="12"/>
  <c r="AG120" i="12"/>
  <c r="AD120" i="12"/>
  <c r="AC120" i="12"/>
  <c r="AB120" i="12"/>
  <c r="W120" i="12"/>
  <c r="V120" i="12"/>
  <c r="T120" i="12"/>
  <c r="S120" i="12"/>
  <c r="R120" i="12"/>
  <c r="Q120" i="12"/>
  <c r="P120" i="12"/>
  <c r="O120" i="12"/>
  <c r="E120" i="12"/>
  <c r="D120" i="12"/>
  <c r="C120" i="12"/>
  <c r="AH119" i="12"/>
  <c r="AG119" i="12"/>
  <c r="AD119" i="12"/>
  <c r="AC119" i="12"/>
  <c r="AB119" i="12"/>
  <c r="W119" i="12"/>
  <c r="V119" i="12"/>
  <c r="T119" i="12"/>
  <c r="S119" i="12"/>
  <c r="R119" i="12"/>
  <c r="Q119" i="12"/>
  <c r="P119" i="12"/>
  <c r="O119" i="12"/>
  <c r="E119" i="12"/>
  <c r="D119" i="12"/>
  <c r="C119" i="12"/>
  <c r="AH118" i="12"/>
  <c r="AG118" i="12"/>
  <c r="AD118" i="12"/>
  <c r="AC118" i="12"/>
  <c r="AB118" i="12"/>
  <c r="W118" i="12"/>
  <c r="V118" i="12"/>
  <c r="T118" i="12"/>
  <c r="S118" i="12"/>
  <c r="R118" i="12"/>
  <c r="Q118" i="12"/>
  <c r="P118" i="12"/>
  <c r="O118" i="12"/>
  <c r="E118" i="12"/>
  <c r="D118" i="12"/>
  <c r="C118" i="12"/>
  <c r="AH117" i="12"/>
  <c r="AG117" i="12"/>
  <c r="AD117" i="12"/>
  <c r="AC117" i="12"/>
  <c r="AB117" i="12"/>
  <c r="W117" i="12"/>
  <c r="V117" i="12"/>
  <c r="T117" i="12"/>
  <c r="S117" i="12"/>
  <c r="R117" i="12"/>
  <c r="Q117" i="12"/>
  <c r="P117" i="12"/>
  <c r="O117" i="12"/>
  <c r="E117" i="12"/>
  <c r="D117" i="12"/>
  <c r="C117" i="12"/>
  <c r="AH116" i="12"/>
  <c r="AG116" i="12"/>
  <c r="AD116" i="12"/>
  <c r="AC116" i="12"/>
  <c r="AB116" i="12"/>
  <c r="W116" i="12"/>
  <c r="V116" i="12"/>
  <c r="T116" i="12"/>
  <c r="S116" i="12"/>
  <c r="R116" i="12"/>
  <c r="Q116" i="12"/>
  <c r="P116" i="12"/>
  <c r="O116" i="12"/>
  <c r="E116" i="12"/>
  <c r="D116" i="12"/>
  <c r="C116" i="12"/>
  <c r="AH115" i="12"/>
  <c r="AG115" i="12"/>
  <c r="AD115" i="12"/>
  <c r="AC115" i="12"/>
  <c r="AB115" i="12"/>
  <c r="W115" i="12"/>
  <c r="V115" i="12"/>
  <c r="T115" i="12"/>
  <c r="S115" i="12"/>
  <c r="R115" i="12"/>
  <c r="Q115" i="12"/>
  <c r="P115" i="12"/>
  <c r="O115" i="12"/>
  <c r="E115" i="12"/>
  <c r="D115" i="12"/>
  <c r="C115" i="12"/>
  <c r="AH114" i="12"/>
  <c r="AG114" i="12"/>
  <c r="AD114" i="12"/>
  <c r="AC114" i="12"/>
  <c r="AB114" i="12"/>
  <c r="W114" i="12"/>
  <c r="V114" i="12"/>
  <c r="T114" i="12"/>
  <c r="S114" i="12"/>
  <c r="R114" i="12"/>
  <c r="Q114" i="12"/>
  <c r="P114" i="12"/>
  <c r="O114" i="12"/>
  <c r="E114" i="12"/>
  <c r="D114" i="12"/>
  <c r="C114" i="12"/>
  <c r="AH113" i="12"/>
  <c r="AG113" i="12"/>
  <c r="AD113" i="12"/>
  <c r="AC113" i="12"/>
  <c r="AB113" i="12"/>
  <c r="W113" i="12"/>
  <c r="V113" i="12"/>
  <c r="T113" i="12"/>
  <c r="S113" i="12"/>
  <c r="R113" i="12"/>
  <c r="Q113" i="12"/>
  <c r="P113" i="12"/>
  <c r="O113" i="12"/>
  <c r="E113" i="12"/>
  <c r="D113" i="12"/>
  <c r="C113" i="12"/>
  <c r="AH112" i="12"/>
  <c r="AG112" i="12"/>
  <c r="AD112" i="12"/>
  <c r="AC112" i="12"/>
  <c r="AB112" i="12"/>
  <c r="W112" i="12"/>
  <c r="V112" i="12"/>
  <c r="T112" i="12"/>
  <c r="S112" i="12"/>
  <c r="R112" i="12"/>
  <c r="Q112" i="12"/>
  <c r="P112" i="12"/>
  <c r="O112" i="12"/>
  <c r="E112" i="12"/>
  <c r="D112" i="12"/>
  <c r="C112" i="12"/>
  <c r="AH111" i="12"/>
  <c r="AG111" i="12"/>
  <c r="AD111" i="12"/>
  <c r="AC111" i="12"/>
  <c r="AB111" i="12"/>
  <c r="W111" i="12"/>
  <c r="V111" i="12"/>
  <c r="T111" i="12"/>
  <c r="S111" i="12"/>
  <c r="R111" i="12"/>
  <c r="Q111" i="12"/>
  <c r="P111" i="12"/>
  <c r="O111" i="12"/>
  <c r="E111" i="12"/>
  <c r="D111" i="12"/>
  <c r="AX114" i="16"/>
  <c r="AY114" i="16"/>
  <c r="AY30" i="18"/>
  <c r="AX30" i="18"/>
  <c r="AD19" i="18"/>
  <c r="N120" i="12" s="1"/>
  <c r="AB19" i="18"/>
  <c r="M120" i="12" s="1"/>
  <c r="Z19" i="18"/>
  <c r="L120" i="12" s="1"/>
  <c r="X19" i="18"/>
  <c r="K120" i="12" s="1"/>
  <c r="V19" i="18"/>
  <c r="J120" i="12" s="1"/>
  <c r="N19" i="18"/>
  <c r="G120" i="12" s="1"/>
  <c r="K19" i="18"/>
  <c r="F120" i="12" s="1"/>
  <c r="I19" i="18"/>
  <c r="AD18" i="18"/>
  <c r="N119" i="12" s="1"/>
  <c r="AB18" i="18"/>
  <c r="M119" i="12" s="1"/>
  <c r="Z18" i="18"/>
  <c r="L119" i="12" s="1"/>
  <c r="X18" i="18"/>
  <c r="K119" i="12" s="1"/>
  <c r="V18" i="18"/>
  <c r="J119" i="12" s="1"/>
  <c r="N18" i="18"/>
  <c r="G119" i="12" s="1"/>
  <c r="K18" i="18"/>
  <c r="F119" i="12" s="1"/>
  <c r="I18" i="18"/>
  <c r="AD17" i="18"/>
  <c r="N118" i="12" s="1"/>
  <c r="AB17" i="18"/>
  <c r="M118" i="12" s="1"/>
  <c r="Z17" i="18"/>
  <c r="L118" i="12" s="1"/>
  <c r="X17" i="18"/>
  <c r="K118" i="12" s="1"/>
  <c r="V17" i="18"/>
  <c r="J118" i="12" s="1"/>
  <c r="N17" i="18"/>
  <c r="G118" i="12" s="1"/>
  <c r="K17" i="18"/>
  <c r="F118" i="12" s="1"/>
  <c r="I17" i="18"/>
  <c r="AD16" i="18"/>
  <c r="N117" i="12" s="1"/>
  <c r="AB16" i="18"/>
  <c r="M117" i="12" s="1"/>
  <c r="Z16" i="18"/>
  <c r="L117" i="12" s="1"/>
  <c r="X16" i="18"/>
  <c r="K117" i="12" s="1"/>
  <c r="V16" i="18"/>
  <c r="J117" i="12" s="1"/>
  <c r="N16" i="18"/>
  <c r="G117" i="12" s="1"/>
  <c r="K16" i="18"/>
  <c r="F117" i="12" s="1"/>
  <c r="I16" i="18"/>
  <c r="AD15" i="18"/>
  <c r="N116" i="12" s="1"/>
  <c r="AB15" i="18"/>
  <c r="M116" i="12" s="1"/>
  <c r="Z15" i="18"/>
  <c r="L116" i="12" s="1"/>
  <c r="X15" i="18"/>
  <c r="K116" i="12" s="1"/>
  <c r="V15" i="18"/>
  <c r="J116" i="12" s="1"/>
  <c r="N15" i="18"/>
  <c r="G116" i="12" s="1"/>
  <c r="K15" i="18"/>
  <c r="F116" i="12" s="1"/>
  <c r="I15" i="18"/>
  <c r="AD14" i="18"/>
  <c r="N115" i="12" s="1"/>
  <c r="AB14" i="18"/>
  <c r="M115" i="12" s="1"/>
  <c r="Z14" i="18"/>
  <c r="L115" i="12" s="1"/>
  <c r="X14" i="18"/>
  <c r="K115" i="12" s="1"/>
  <c r="V14" i="18"/>
  <c r="J115" i="12" s="1"/>
  <c r="N14" i="18"/>
  <c r="G115" i="12" s="1"/>
  <c r="K14" i="18"/>
  <c r="F115" i="12" s="1"/>
  <c r="I14" i="18"/>
  <c r="AD13" i="18"/>
  <c r="N114" i="12" s="1"/>
  <c r="AB13" i="18"/>
  <c r="M114" i="12" s="1"/>
  <c r="Z13" i="18"/>
  <c r="L114" i="12" s="1"/>
  <c r="X13" i="18"/>
  <c r="K114" i="12" s="1"/>
  <c r="V13" i="18"/>
  <c r="J114" i="12" s="1"/>
  <c r="N13" i="18"/>
  <c r="G114" i="12" s="1"/>
  <c r="K13" i="18"/>
  <c r="F114" i="12" s="1"/>
  <c r="I13" i="18"/>
  <c r="AD12" i="18"/>
  <c r="N113" i="12" s="1"/>
  <c r="AB12" i="18"/>
  <c r="M113" i="12" s="1"/>
  <c r="Z12" i="18"/>
  <c r="L113" i="12" s="1"/>
  <c r="X12" i="18"/>
  <c r="K113" i="12" s="1"/>
  <c r="V12" i="18"/>
  <c r="J113" i="12" s="1"/>
  <c r="N12" i="18"/>
  <c r="G113" i="12" s="1"/>
  <c r="K12" i="18"/>
  <c r="F113" i="12" s="1"/>
  <c r="I12" i="18"/>
  <c r="AD11" i="18"/>
  <c r="N112" i="12" s="1"/>
  <c r="AB11" i="18"/>
  <c r="M112" i="12" s="1"/>
  <c r="Z11" i="18"/>
  <c r="L112" i="12" s="1"/>
  <c r="X11" i="18"/>
  <c r="K112" i="12" s="1"/>
  <c r="V11" i="18"/>
  <c r="J112" i="12" s="1"/>
  <c r="N11" i="18"/>
  <c r="G112" i="12" s="1"/>
  <c r="K11" i="18"/>
  <c r="F112" i="12" s="1"/>
  <c r="I11" i="18"/>
  <c r="AD10" i="18"/>
  <c r="AB10" i="18"/>
  <c r="Z10" i="18"/>
  <c r="X10" i="18"/>
  <c r="V10" i="18"/>
  <c r="N10" i="18"/>
  <c r="K10" i="18"/>
  <c r="I10" i="18"/>
  <c r="AF127" i="12" l="1"/>
  <c r="F127" i="19"/>
  <c r="F128" i="19"/>
  <c r="AW20" i="18"/>
  <c r="AE121" i="12"/>
  <c r="AE122" i="12"/>
  <c r="AW21" i="18"/>
  <c r="K111" i="12"/>
  <c r="M111" i="12"/>
  <c r="N111" i="12"/>
  <c r="J111" i="12"/>
  <c r="L111" i="12"/>
  <c r="F111" i="12"/>
  <c r="G111" i="12"/>
  <c r="I112" i="12"/>
  <c r="I113" i="12"/>
  <c r="I116" i="12"/>
  <c r="I117" i="12"/>
  <c r="I120" i="12"/>
  <c r="I111" i="12"/>
  <c r="I99" i="16"/>
  <c r="I97" i="16"/>
  <c r="I96" i="16"/>
  <c r="I95" i="16"/>
  <c r="I94" i="16"/>
  <c r="I93" i="16"/>
  <c r="I92" i="16"/>
  <c r="I91" i="16"/>
  <c r="I90" i="16"/>
  <c r="I89" i="16"/>
  <c r="I88" i="16"/>
  <c r="I87" i="16"/>
  <c r="I86" i="16"/>
  <c r="I85" i="16"/>
  <c r="I84" i="16"/>
  <c r="I83" i="16"/>
  <c r="I82" i="16"/>
  <c r="I81" i="16"/>
  <c r="I80" i="16"/>
  <c r="I79" i="16"/>
  <c r="I77" i="16"/>
  <c r="I76" i="16"/>
  <c r="I75" i="16"/>
  <c r="I74" i="16"/>
  <c r="I73" i="16"/>
  <c r="I72" i="16"/>
  <c r="I71" i="16"/>
  <c r="I70" i="16"/>
  <c r="I69" i="16"/>
  <c r="I68" i="16"/>
  <c r="I67" i="16"/>
  <c r="I66" i="16"/>
  <c r="I65" i="16"/>
  <c r="I64" i="16"/>
  <c r="I63" i="16"/>
  <c r="I62" i="16"/>
  <c r="I61" i="16"/>
  <c r="I60" i="16"/>
  <c r="I59" i="16"/>
  <c r="I58" i="16"/>
  <c r="I57" i="16"/>
  <c r="I56" i="16"/>
  <c r="I55" i="16"/>
  <c r="I54" i="16"/>
  <c r="I53" i="16"/>
  <c r="I52" i="16"/>
  <c r="I51" i="16"/>
  <c r="I50" i="16"/>
  <c r="I49" i="16"/>
  <c r="I48" i="16"/>
  <c r="I46" i="16"/>
  <c r="I45" i="16"/>
  <c r="I44" i="16"/>
  <c r="I43" i="16"/>
  <c r="I42" i="16"/>
  <c r="I41" i="16"/>
  <c r="I40" i="16"/>
  <c r="I39" i="16"/>
  <c r="I38" i="16"/>
  <c r="I37" i="16"/>
  <c r="I36" i="16"/>
  <c r="I35" i="16"/>
  <c r="I34" i="16"/>
  <c r="I33" i="16"/>
  <c r="I31" i="16"/>
  <c r="I30" i="16"/>
  <c r="I29" i="16"/>
  <c r="I28" i="16"/>
  <c r="I27" i="16"/>
  <c r="I26" i="16"/>
  <c r="I25" i="16"/>
  <c r="I24" i="16"/>
  <c r="I23" i="16"/>
  <c r="I22" i="16"/>
  <c r="I21" i="16"/>
  <c r="I20" i="16"/>
  <c r="I19" i="16"/>
  <c r="I18" i="16"/>
  <c r="I17" i="16"/>
  <c r="I16" i="16"/>
  <c r="I15" i="16"/>
  <c r="I14" i="16"/>
  <c r="I13" i="16"/>
  <c r="I12" i="16"/>
  <c r="I11" i="16"/>
  <c r="I10" i="16"/>
  <c r="AF122" i="12" l="1"/>
  <c r="F122" i="19"/>
  <c r="AF121" i="12"/>
  <c r="F121" i="19"/>
  <c r="O15" i="18"/>
  <c r="P15" i="18" s="1"/>
  <c r="H116" i="12" s="1"/>
  <c r="O12" i="18"/>
  <c r="P12" i="18" s="1"/>
  <c r="AK12" i="18" s="1"/>
  <c r="O16" i="18"/>
  <c r="P16" i="18" s="1"/>
  <c r="H117" i="12" s="1"/>
  <c r="O13" i="18"/>
  <c r="P13" i="18" s="1"/>
  <c r="H114" i="12" s="1"/>
  <c r="I114" i="12"/>
  <c r="O18" i="18"/>
  <c r="P18" i="18" s="1"/>
  <c r="H119" i="12" s="1"/>
  <c r="I119" i="12"/>
  <c r="O14" i="18"/>
  <c r="P14" i="18" s="1"/>
  <c r="AK14" i="18" s="1"/>
  <c r="I115" i="12"/>
  <c r="O19" i="18"/>
  <c r="P19" i="18" s="1"/>
  <c r="AK19" i="18" s="1"/>
  <c r="O17" i="18"/>
  <c r="P17" i="18" s="1"/>
  <c r="AK17" i="18" s="1"/>
  <c r="I118" i="12"/>
  <c r="O11" i="18"/>
  <c r="P11" i="18" s="1"/>
  <c r="AK11" i="18" s="1"/>
  <c r="O10" i="18"/>
  <c r="AA118" i="12" l="1"/>
  <c r="AQ17" i="18"/>
  <c r="Y118" i="12"/>
  <c r="AN17" i="18"/>
  <c r="AA113" i="12"/>
  <c r="AQ12" i="18"/>
  <c r="Z113" i="12" s="1"/>
  <c r="AN12" i="18"/>
  <c r="Y113" i="12"/>
  <c r="AA120" i="12"/>
  <c r="AQ19" i="18"/>
  <c r="Z120" i="12" s="1"/>
  <c r="Y120" i="12"/>
  <c r="AN19" i="18"/>
  <c r="AA112" i="12"/>
  <c r="AQ11" i="18"/>
  <c r="Z112" i="12" s="1"/>
  <c r="Y112" i="12"/>
  <c r="AN11" i="18"/>
  <c r="X112" i="12" s="1"/>
  <c r="AN14" i="18"/>
  <c r="X115" i="12" s="1"/>
  <c r="AA115" i="12"/>
  <c r="AQ14" i="18"/>
  <c r="Z115" i="12" s="1"/>
  <c r="Y115" i="12"/>
  <c r="H113" i="12"/>
  <c r="AK15" i="18"/>
  <c r="AK18" i="18"/>
  <c r="H112" i="12"/>
  <c r="AK16" i="18"/>
  <c r="U112" i="12"/>
  <c r="AK13" i="18"/>
  <c r="U115" i="12"/>
  <c r="H115" i="12"/>
  <c r="U120" i="12"/>
  <c r="U118" i="12"/>
  <c r="Z118" i="12"/>
  <c r="H120" i="12"/>
  <c r="H118" i="12"/>
  <c r="U113" i="12"/>
  <c r="P10" i="18"/>
  <c r="H111" i="12" s="1"/>
  <c r="U116" i="12" l="1"/>
  <c r="AA116" i="12"/>
  <c r="U117" i="12"/>
  <c r="AA117" i="12"/>
  <c r="AV19" i="18"/>
  <c r="AW19" i="18" s="1"/>
  <c r="F120" i="19" s="1"/>
  <c r="AV17" i="18"/>
  <c r="AW17" i="18" s="1"/>
  <c r="F118" i="19" s="1"/>
  <c r="X120" i="12"/>
  <c r="X118" i="12"/>
  <c r="AQ15" i="18"/>
  <c r="Z116" i="12" s="1"/>
  <c r="Y116" i="12"/>
  <c r="AN15" i="18"/>
  <c r="X116" i="12" s="1"/>
  <c r="AV11" i="18"/>
  <c r="AW11" i="18" s="1"/>
  <c r="AV12" i="18"/>
  <c r="AQ16" i="18"/>
  <c r="Z117" i="12" s="1"/>
  <c r="AN16" i="18"/>
  <c r="X117" i="12" s="1"/>
  <c r="Y117" i="12"/>
  <c r="AA114" i="12"/>
  <c r="AQ13" i="18"/>
  <c r="Z114" i="12" s="1"/>
  <c r="AN13" i="18"/>
  <c r="X114" i="12" s="1"/>
  <c r="AN18" i="18"/>
  <c r="X119" i="12" s="1"/>
  <c r="AA119" i="12"/>
  <c r="AQ18" i="18"/>
  <c r="Z119" i="12" s="1"/>
  <c r="Y119" i="12"/>
  <c r="AV14" i="18"/>
  <c r="AW14" i="18" s="1"/>
  <c r="F115" i="19" s="1"/>
  <c r="U119" i="12"/>
  <c r="U114" i="12"/>
  <c r="X113" i="12"/>
  <c r="AK10" i="18"/>
  <c r="AV15" i="18" l="1"/>
  <c r="AW15" i="18" s="1"/>
  <c r="F116" i="19" s="1"/>
  <c r="AV16" i="18"/>
  <c r="AW16" i="18" s="1"/>
  <c r="AV18" i="18"/>
  <c r="AW18" i="18" s="1"/>
  <c r="AV13" i="18"/>
  <c r="U111" i="12"/>
  <c r="U131" i="12" s="1"/>
  <c r="AE118" i="12"/>
  <c r="AE112" i="12"/>
  <c r="Y114" i="12"/>
  <c r="AE115" i="12"/>
  <c r="AE120" i="12"/>
  <c r="AE113" i="12"/>
  <c r="AW12" i="18"/>
  <c r="F113" i="19" s="1"/>
  <c r="AF118" i="12"/>
  <c r="AF120" i="12"/>
  <c r="F112" i="19"/>
  <c r="AF112" i="12"/>
  <c r="AF115" i="12"/>
  <c r="AQ10" i="18"/>
  <c r="AK30" i="18"/>
  <c r="AN10" i="18"/>
  <c r="X111" i="12" s="1"/>
  <c r="AD12" i="16"/>
  <c r="N12" i="12" s="1"/>
  <c r="AD13" i="16"/>
  <c r="N13" i="12" s="1"/>
  <c r="AD14" i="16"/>
  <c r="N14" i="12" s="1"/>
  <c r="AD15" i="16"/>
  <c r="N15" i="12" s="1"/>
  <c r="AD16" i="16"/>
  <c r="N16" i="12" s="1"/>
  <c r="AD17" i="16"/>
  <c r="N17" i="12" s="1"/>
  <c r="AD18" i="16"/>
  <c r="N18" i="12" s="1"/>
  <c r="AD19" i="16"/>
  <c r="N19" i="12" s="1"/>
  <c r="AD20" i="16"/>
  <c r="N20" i="12" s="1"/>
  <c r="AD21" i="16"/>
  <c r="N21" i="12" s="1"/>
  <c r="AD22" i="16"/>
  <c r="N22" i="12" s="1"/>
  <c r="AD23" i="16"/>
  <c r="N23" i="12" s="1"/>
  <c r="AD24" i="16"/>
  <c r="N24" i="12" s="1"/>
  <c r="AD25" i="16"/>
  <c r="N25" i="12" s="1"/>
  <c r="AD26" i="16"/>
  <c r="N26" i="12" s="1"/>
  <c r="AD27" i="16"/>
  <c r="N27" i="12" s="1"/>
  <c r="AD28" i="16"/>
  <c r="N28" i="12" s="1"/>
  <c r="AD29" i="16"/>
  <c r="N29" i="12" s="1"/>
  <c r="AD30" i="16"/>
  <c r="N30" i="12" s="1"/>
  <c r="AD31" i="16"/>
  <c r="N31" i="12" s="1"/>
  <c r="AD33" i="16"/>
  <c r="N32" i="12" s="1"/>
  <c r="AD34" i="16"/>
  <c r="N33" i="12" s="1"/>
  <c r="AD35" i="16"/>
  <c r="N34" i="12" s="1"/>
  <c r="AD36" i="16"/>
  <c r="N35" i="12" s="1"/>
  <c r="AD37" i="16"/>
  <c r="N36" i="12" s="1"/>
  <c r="AD38" i="16"/>
  <c r="N37" i="12" s="1"/>
  <c r="AD39" i="16"/>
  <c r="N38" i="12" s="1"/>
  <c r="AD40" i="16"/>
  <c r="N39" i="12" s="1"/>
  <c r="AD41" i="16"/>
  <c r="N40" i="12" s="1"/>
  <c r="AD42" i="16"/>
  <c r="N41" i="12" s="1"/>
  <c r="AD43" i="16"/>
  <c r="N42" i="12" s="1"/>
  <c r="AD44" i="16"/>
  <c r="N43" i="12" s="1"/>
  <c r="AD45" i="16"/>
  <c r="N44" i="12" s="1"/>
  <c r="AD46" i="16"/>
  <c r="N45" i="12" s="1"/>
  <c r="AD48" i="16"/>
  <c r="N46" i="12" s="1"/>
  <c r="AD49" i="16"/>
  <c r="N47" i="12" s="1"/>
  <c r="AD50" i="16"/>
  <c r="N48" i="12" s="1"/>
  <c r="AD51" i="16"/>
  <c r="N49" i="12" s="1"/>
  <c r="AD52" i="16"/>
  <c r="N50" i="12" s="1"/>
  <c r="AD53" i="16"/>
  <c r="N51" i="12" s="1"/>
  <c r="AD54" i="16"/>
  <c r="N52" i="12" s="1"/>
  <c r="AD55" i="16"/>
  <c r="N53" i="12" s="1"/>
  <c r="AD56" i="16"/>
  <c r="N54" i="12" s="1"/>
  <c r="AD57" i="16"/>
  <c r="N55" i="12" s="1"/>
  <c r="AD58" i="16"/>
  <c r="N56" i="12" s="1"/>
  <c r="AD59" i="16"/>
  <c r="N57" i="12" s="1"/>
  <c r="AD60" i="16"/>
  <c r="N58" i="12" s="1"/>
  <c r="AD61" i="16"/>
  <c r="N59" i="12" s="1"/>
  <c r="AD62" i="16"/>
  <c r="N60" i="12" s="1"/>
  <c r="AD63" i="16"/>
  <c r="N61" i="12" s="1"/>
  <c r="AD64" i="16"/>
  <c r="N62" i="12" s="1"/>
  <c r="AD65" i="16"/>
  <c r="N63" i="12" s="1"/>
  <c r="AD66" i="16"/>
  <c r="N64" i="12" s="1"/>
  <c r="AD67" i="16"/>
  <c r="N65" i="12" s="1"/>
  <c r="AD68" i="16"/>
  <c r="N66" i="12" s="1"/>
  <c r="AD69" i="16"/>
  <c r="N67" i="12" s="1"/>
  <c r="AD70" i="16"/>
  <c r="N68" i="12" s="1"/>
  <c r="AD71" i="16"/>
  <c r="N69" i="12" s="1"/>
  <c r="AD72" i="16"/>
  <c r="N70" i="12" s="1"/>
  <c r="AD73" i="16"/>
  <c r="N71" i="12" s="1"/>
  <c r="AD74" i="16"/>
  <c r="N72" i="12" s="1"/>
  <c r="AD75" i="16"/>
  <c r="N73" i="12" s="1"/>
  <c r="AD76" i="16"/>
  <c r="N74" i="12" s="1"/>
  <c r="AD77" i="16"/>
  <c r="N75" i="12" s="1"/>
  <c r="AD79" i="16"/>
  <c r="N76" i="12" s="1"/>
  <c r="AD80" i="16"/>
  <c r="N77" i="12" s="1"/>
  <c r="AD81" i="16"/>
  <c r="N78" i="12" s="1"/>
  <c r="AD82" i="16"/>
  <c r="N79" i="12" s="1"/>
  <c r="AD83" i="16"/>
  <c r="N80" i="12" s="1"/>
  <c r="AD84" i="16"/>
  <c r="N81" i="12" s="1"/>
  <c r="AD85" i="16"/>
  <c r="N82" i="12" s="1"/>
  <c r="AD86" i="16"/>
  <c r="N83" i="12" s="1"/>
  <c r="AD87" i="16"/>
  <c r="N84" i="12" s="1"/>
  <c r="AD88" i="16"/>
  <c r="N85" i="12" s="1"/>
  <c r="AD89" i="16"/>
  <c r="N86" i="12" s="1"/>
  <c r="AD90" i="16"/>
  <c r="N87" i="12" s="1"/>
  <c r="AD91" i="16"/>
  <c r="N88" i="12" s="1"/>
  <c r="AD92" i="16"/>
  <c r="N89" i="12" s="1"/>
  <c r="AD93" i="16"/>
  <c r="N90" i="12" s="1"/>
  <c r="AD94" i="16"/>
  <c r="N91" i="12" s="1"/>
  <c r="AD95" i="16"/>
  <c r="N92" i="12" s="1"/>
  <c r="AD96" i="16"/>
  <c r="N93" i="12" s="1"/>
  <c r="AD97" i="16"/>
  <c r="N94" i="12" s="1"/>
  <c r="AD99" i="16"/>
  <c r="N95" i="12" s="1"/>
  <c r="N96" i="12"/>
  <c r="N97" i="12"/>
  <c r="N98" i="12"/>
  <c r="N99" i="12"/>
  <c r="N100" i="12"/>
  <c r="N101" i="12"/>
  <c r="N102" i="12"/>
  <c r="N103" i="12"/>
  <c r="AB12" i="16"/>
  <c r="M12" i="12" s="1"/>
  <c r="AB13" i="16"/>
  <c r="M13" i="12" s="1"/>
  <c r="AB14" i="16"/>
  <c r="M14" i="12" s="1"/>
  <c r="AB15" i="16"/>
  <c r="M15" i="12" s="1"/>
  <c r="AB16" i="16"/>
  <c r="M16" i="12" s="1"/>
  <c r="AB17" i="16"/>
  <c r="M17" i="12" s="1"/>
  <c r="AB18" i="16"/>
  <c r="M18" i="12" s="1"/>
  <c r="AB19" i="16"/>
  <c r="M19" i="12" s="1"/>
  <c r="AB20" i="16"/>
  <c r="M20" i="12" s="1"/>
  <c r="AB21" i="16"/>
  <c r="M21" i="12" s="1"/>
  <c r="AB22" i="16"/>
  <c r="M22" i="12" s="1"/>
  <c r="AB23" i="16"/>
  <c r="M23" i="12" s="1"/>
  <c r="AB24" i="16"/>
  <c r="M24" i="12" s="1"/>
  <c r="AB25" i="16"/>
  <c r="M25" i="12" s="1"/>
  <c r="AB26" i="16"/>
  <c r="M26" i="12" s="1"/>
  <c r="AB27" i="16"/>
  <c r="M27" i="12" s="1"/>
  <c r="AB28" i="16"/>
  <c r="M28" i="12" s="1"/>
  <c r="AB29" i="16"/>
  <c r="M29" i="12" s="1"/>
  <c r="AB30" i="16"/>
  <c r="M30" i="12" s="1"/>
  <c r="AB31" i="16"/>
  <c r="M31" i="12" s="1"/>
  <c r="AB33" i="16"/>
  <c r="M32" i="12" s="1"/>
  <c r="AB34" i="16"/>
  <c r="M33" i="12" s="1"/>
  <c r="AB35" i="16"/>
  <c r="M34" i="12" s="1"/>
  <c r="M35" i="12"/>
  <c r="M36" i="12"/>
  <c r="M37" i="12"/>
  <c r="M38" i="12"/>
  <c r="M39" i="12"/>
  <c r="M40" i="12"/>
  <c r="M41" i="12"/>
  <c r="M42" i="12"/>
  <c r="M43" i="12"/>
  <c r="M44" i="12"/>
  <c r="M45" i="12"/>
  <c r="AB48" i="16"/>
  <c r="M46" i="12" s="1"/>
  <c r="AB49" i="16"/>
  <c r="M47" i="12" s="1"/>
  <c r="AB50" i="16"/>
  <c r="M48" i="12" s="1"/>
  <c r="AB51" i="16"/>
  <c r="M49" i="12" s="1"/>
  <c r="AB52" i="16"/>
  <c r="M50" i="12" s="1"/>
  <c r="AB53" i="16"/>
  <c r="M51" i="12" s="1"/>
  <c r="AB54" i="16"/>
  <c r="M52" i="12" s="1"/>
  <c r="AB55" i="16"/>
  <c r="M53" i="12" s="1"/>
  <c r="AB56" i="16"/>
  <c r="M54" i="12" s="1"/>
  <c r="AB57" i="16"/>
  <c r="M55" i="12" s="1"/>
  <c r="AB58" i="16"/>
  <c r="M56" i="12" s="1"/>
  <c r="AB59" i="16"/>
  <c r="M57" i="12" s="1"/>
  <c r="AB60" i="16"/>
  <c r="M58" i="12" s="1"/>
  <c r="AB61" i="16"/>
  <c r="M59" i="12" s="1"/>
  <c r="AB62" i="16"/>
  <c r="M60" i="12" s="1"/>
  <c r="AB63" i="16"/>
  <c r="M61" i="12" s="1"/>
  <c r="AB64" i="16"/>
  <c r="M62" i="12" s="1"/>
  <c r="AB65" i="16"/>
  <c r="M63" i="12" s="1"/>
  <c r="AB66" i="16"/>
  <c r="M64" i="12" s="1"/>
  <c r="AB67" i="16"/>
  <c r="M65" i="12" s="1"/>
  <c r="AB68" i="16"/>
  <c r="M66" i="12" s="1"/>
  <c r="AB69" i="16"/>
  <c r="M67" i="12" s="1"/>
  <c r="AB70" i="16"/>
  <c r="M68" i="12" s="1"/>
  <c r="AB71" i="16"/>
  <c r="M69" i="12" s="1"/>
  <c r="AB72" i="16"/>
  <c r="M70" i="12" s="1"/>
  <c r="AB73" i="16"/>
  <c r="M71" i="12" s="1"/>
  <c r="AB74" i="16"/>
  <c r="M72" i="12" s="1"/>
  <c r="AB75" i="16"/>
  <c r="M73" i="12" s="1"/>
  <c r="AB76" i="16"/>
  <c r="M74" i="12" s="1"/>
  <c r="AB77" i="16"/>
  <c r="M75" i="12" s="1"/>
  <c r="AB79" i="16"/>
  <c r="M76" i="12" s="1"/>
  <c r="AB80" i="16"/>
  <c r="M77" i="12" s="1"/>
  <c r="AB81" i="16"/>
  <c r="M78" i="12" s="1"/>
  <c r="AB82" i="16"/>
  <c r="M79" i="12" s="1"/>
  <c r="AB83" i="16"/>
  <c r="M80" i="12" s="1"/>
  <c r="AB84" i="16"/>
  <c r="M81" i="12" s="1"/>
  <c r="AB85" i="16"/>
  <c r="M82" i="12" s="1"/>
  <c r="AB86" i="16"/>
  <c r="M83" i="12" s="1"/>
  <c r="AB87" i="16"/>
  <c r="M84" i="12" s="1"/>
  <c r="AB88" i="16"/>
  <c r="M85" i="12" s="1"/>
  <c r="AB89" i="16"/>
  <c r="M86" i="12" s="1"/>
  <c r="AB90" i="16"/>
  <c r="M87" i="12" s="1"/>
  <c r="AB91" i="16"/>
  <c r="M88" i="12" s="1"/>
  <c r="AB92" i="16"/>
  <c r="M89" i="12" s="1"/>
  <c r="AB93" i="16"/>
  <c r="M90" i="12" s="1"/>
  <c r="AB94" i="16"/>
  <c r="M91" i="12" s="1"/>
  <c r="AB95" i="16"/>
  <c r="M92" i="12" s="1"/>
  <c r="AB96" i="16"/>
  <c r="M93" i="12" s="1"/>
  <c r="AB97" i="16"/>
  <c r="M94" i="12" s="1"/>
  <c r="AB99" i="16"/>
  <c r="M95" i="12" s="1"/>
  <c r="M96" i="12"/>
  <c r="M97" i="12"/>
  <c r="M98" i="12"/>
  <c r="M99" i="12"/>
  <c r="M100" i="12"/>
  <c r="M101" i="12"/>
  <c r="M102" i="12"/>
  <c r="M103" i="12"/>
  <c r="Z12" i="16"/>
  <c r="L12" i="12" s="1"/>
  <c r="Z13" i="16"/>
  <c r="L13" i="12" s="1"/>
  <c r="Z14" i="16"/>
  <c r="L14" i="12" s="1"/>
  <c r="Z15" i="16"/>
  <c r="L15" i="12" s="1"/>
  <c r="Z16" i="16"/>
  <c r="L16" i="12" s="1"/>
  <c r="Z17" i="16"/>
  <c r="L17" i="12" s="1"/>
  <c r="Z18" i="16"/>
  <c r="L18" i="12" s="1"/>
  <c r="Z19" i="16"/>
  <c r="L19" i="12" s="1"/>
  <c r="Z20" i="16"/>
  <c r="L20" i="12" s="1"/>
  <c r="Z21" i="16"/>
  <c r="L21" i="12" s="1"/>
  <c r="Z22" i="16"/>
  <c r="L22" i="12" s="1"/>
  <c r="Z23" i="16"/>
  <c r="L23" i="12" s="1"/>
  <c r="Z24" i="16"/>
  <c r="L24" i="12" s="1"/>
  <c r="Z25" i="16"/>
  <c r="L25" i="12" s="1"/>
  <c r="Z26" i="16"/>
  <c r="L26" i="12" s="1"/>
  <c r="Z27" i="16"/>
  <c r="L27" i="12" s="1"/>
  <c r="Z28" i="16"/>
  <c r="L28" i="12" s="1"/>
  <c r="Z29" i="16"/>
  <c r="L29" i="12" s="1"/>
  <c r="Z30" i="16"/>
  <c r="L30" i="12" s="1"/>
  <c r="Z31" i="16"/>
  <c r="L31" i="12" s="1"/>
  <c r="Z33" i="16"/>
  <c r="L32" i="12" s="1"/>
  <c r="Z34" i="16"/>
  <c r="L33" i="12" s="1"/>
  <c r="L34" i="12"/>
  <c r="L35" i="12"/>
  <c r="L36" i="12"/>
  <c r="L37" i="12"/>
  <c r="L38" i="12"/>
  <c r="L39" i="12"/>
  <c r="L40" i="12"/>
  <c r="L41" i="12"/>
  <c r="L42" i="12"/>
  <c r="L43" i="12"/>
  <c r="L44" i="12"/>
  <c r="L45" i="12"/>
  <c r="Z48" i="16"/>
  <c r="L46" i="12" s="1"/>
  <c r="Z49" i="16"/>
  <c r="L47" i="12" s="1"/>
  <c r="Z50" i="16"/>
  <c r="L48" i="12" s="1"/>
  <c r="Z51" i="16"/>
  <c r="L49" i="12" s="1"/>
  <c r="Z52" i="16"/>
  <c r="L50" i="12" s="1"/>
  <c r="Z53" i="16"/>
  <c r="L51" i="12" s="1"/>
  <c r="Z54" i="16"/>
  <c r="L52" i="12" s="1"/>
  <c r="Z55" i="16"/>
  <c r="L53" i="12" s="1"/>
  <c r="Z56" i="16"/>
  <c r="L54" i="12" s="1"/>
  <c r="Z57" i="16"/>
  <c r="L55" i="12" s="1"/>
  <c r="Z58" i="16"/>
  <c r="L56" i="12" s="1"/>
  <c r="Z59" i="16"/>
  <c r="L57" i="12" s="1"/>
  <c r="Z60" i="16"/>
  <c r="L58" i="12" s="1"/>
  <c r="Z61" i="16"/>
  <c r="L59" i="12" s="1"/>
  <c r="Z62" i="16"/>
  <c r="L60" i="12" s="1"/>
  <c r="Z63" i="16"/>
  <c r="L61" i="12" s="1"/>
  <c r="Z64" i="16"/>
  <c r="L62" i="12" s="1"/>
  <c r="Z65" i="16"/>
  <c r="L63" i="12" s="1"/>
  <c r="Z66" i="16"/>
  <c r="L64" i="12" s="1"/>
  <c r="Z67" i="16"/>
  <c r="L65" i="12" s="1"/>
  <c r="Z68" i="16"/>
  <c r="L66" i="12" s="1"/>
  <c r="Z69" i="16"/>
  <c r="L67" i="12" s="1"/>
  <c r="Z70" i="16"/>
  <c r="L68" i="12" s="1"/>
  <c r="Z71" i="16"/>
  <c r="L69" i="12" s="1"/>
  <c r="Z72" i="16"/>
  <c r="L70" i="12" s="1"/>
  <c r="Z73" i="16"/>
  <c r="L71" i="12" s="1"/>
  <c r="Z74" i="16"/>
  <c r="L72" i="12" s="1"/>
  <c r="Z75" i="16"/>
  <c r="L73" i="12" s="1"/>
  <c r="Z76" i="16"/>
  <c r="L74" i="12" s="1"/>
  <c r="Z77" i="16"/>
  <c r="L75" i="12" s="1"/>
  <c r="Z79" i="16"/>
  <c r="L76" i="12" s="1"/>
  <c r="Z80" i="16"/>
  <c r="L77" i="12" s="1"/>
  <c r="Z81" i="16"/>
  <c r="L78" i="12" s="1"/>
  <c r="Z82" i="16"/>
  <c r="L79" i="12" s="1"/>
  <c r="Z83" i="16"/>
  <c r="L80" i="12" s="1"/>
  <c r="Z84" i="16"/>
  <c r="L81" i="12" s="1"/>
  <c r="Z85" i="16"/>
  <c r="L82" i="12" s="1"/>
  <c r="Z86" i="16"/>
  <c r="L83" i="12" s="1"/>
  <c r="Z87" i="16"/>
  <c r="L84" i="12" s="1"/>
  <c r="Z88" i="16"/>
  <c r="L85" i="12" s="1"/>
  <c r="Z89" i="16"/>
  <c r="L86" i="12" s="1"/>
  <c r="Z90" i="16"/>
  <c r="L87" i="12" s="1"/>
  <c r="Z91" i="16"/>
  <c r="L88" i="12" s="1"/>
  <c r="Z92" i="16"/>
  <c r="L89" i="12" s="1"/>
  <c r="Z93" i="16"/>
  <c r="L90" i="12" s="1"/>
  <c r="Z94" i="16"/>
  <c r="L91" i="12" s="1"/>
  <c r="Z95" i="16"/>
  <c r="L92" i="12" s="1"/>
  <c r="Z96" i="16"/>
  <c r="L93" i="12" s="1"/>
  <c r="Z97" i="16"/>
  <c r="L94" i="12" s="1"/>
  <c r="Z99" i="16"/>
  <c r="L95" i="12" s="1"/>
  <c r="L96" i="12"/>
  <c r="L97" i="12"/>
  <c r="L98" i="12"/>
  <c r="L99" i="12"/>
  <c r="L100" i="12"/>
  <c r="L101" i="12"/>
  <c r="L102" i="12"/>
  <c r="L103" i="12"/>
  <c r="X11" i="16"/>
  <c r="K11" i="12" s="1"/>
  <c r="X12" i="16"/>
  <c r="K12" i="12" s="1"/>
  <c r="X13" i="16"/>
  <c r="K13" i="12" s="1"/>
  <c r="X14" i="16"/>
  <c r="K14" i="12" s="1"/>
  <c r="X15" i="16"/>
  <c r="K15" i="12" s="1"/>
  <c r="X16" i="16"/>
  <c r="K16" i="12" s="1"/>
  <c r="X17" i="16"/>
  <c r="K17" i="12" s="1"/>
  <c r="X18" i="16"/>
  <c r="K18" i="12" s="1"/>
  <c r="X19" i="16"/>
  <c r="K19" i="12" s="1"/>
  <c r="X20" i="16"/>
  <c r="K20" i="12" s="1"/>
  <c r="X21" i="16"/>
  <c r="K21" i="12" s="1"/>
  <c r="X22" i="16"/>
  <c r="K22" i="12" s="1"/>
  <c r="X23" i="16"/>
  <c r="K23" i="12" s="1"/>
  <c r="X24" i="16"/>
  <c r="K24" i="12" s="1"/>
  <c r="X25" i="16"/>
  <c r="K25" i="12" s="1"/>
  <c r="X26" i="16"/>
  <c r="K26" i="12" s="1"/>
  <c r="X27" i="16"/>
  <c r="K27" i="12" s="1"/>
  <c r="X28" i="16"/>
  <c r="K28" i="12" s="1"/>
  <c r="X29" i="16"/>
  <c r="K29" i="12" s="1"/>
  <c r="X30" i="16"/>
  <c r="K30" i="12" s="1"/>
  <c r="X31" i="16"/>
  <c r="K31" i="12" s="1"/>
  <c r="X33" i="16"/>
  <c r="K32" i="12" s="1"/>
  <c r="X34" i="16"/>
  <c r="K33" i="12" s="1"/>
  <c r="K34" i="12"/>
  <c r="K35" i="12"/>
  <c r="K36" i="12"/>
  <c r="K37" i="12"/>
  <c r="K38" i="12"/>
  <c r="K39" i="12"/>
  <c r="K40" i="12"/>
  <c r="K41" i="12"/>
  <c r="K42" i="12"/>
  <c r="K43" i="12"/>
  <c r="K44" i="12"/>
  <c r="K45" i="12"/>
  <c r="X48" i="16"/>
  <c r="K46" i="12" s="1"/>
  <c r="X49" i="16"/>
  <c r="K47" i="12" s="1"/>
  <c r="X50" i="16"/>
  <c r="K48" i="12" s="1"/>
  <c r="X51" i="16"/>
  <c r="K49" i="12" s="1"/>
  <c r="X52" i="16"/>
  <c r="K50" i="12" s="1"/>
  <c r="X53" i="16"/>
  <c r="K51" i="12" s="1"/>
  <c r="X54" i="16"/>
  <c r="K52" i="12" s="1"/>
  <c r="X55" i="16"/>
  <c r="K53" i="12" s="1"/>
  <c r="X56" i="16"/>
  <c r="K54" i="12" s="1"/>
  <c r="X57" i="16"/>
  <c r="K55" i="12" s="1"/>
  <c r="X58" i="16"/>
  <c r="K56" i="12" s="1"/>
  <c r="X59" i="16"/>
  <c r="K57" i="12" s="1"/>
  <c r="X60" i="16"/>
  <c r="K58" i="12" s="1"/>
  <c r="X61" i="16"/>
  <c r="K59" i="12" s="1"/>
  <c r="X62" i="16"/>
  <c r="K60" i="12" s="1"/>
  <c r="X63" i="16"/>
  <c r="K61" i="12" s="1"/>
  <c r="X64" i="16"/>
  <c r="K62" i="12" s="1"/>
  <c r="X65" i="16"/>
  <c r="K63" i="12" s="1"/>
  <c r="X66" i="16"/>
  <c r="K64" i="12" s="1"/>
  <c r="X67" i="16"/>
  <c r="K65" i="12" s="1"/>
  <c r="X68" i="16"/>
  <c r="K66" i="12" s="1"/>
  <c r="X69" i="16"/>
  <c r="K67" i="12" s="1"/>
  <c r="X70" i="16"/>
  <c r="K68" i="12" s="1"/>
  <c r="X71" i="16"/>
  <c r="K69" i="12" s="1"/>
  <c r="X72" i="16"/>
  <c r="K70" i="12" s="1"/>
  <c r="X73" i="16"/>
  <c r="K71" i="12" s="1"/>
  <c r="X74" i="16"/>
  <c r="K72" i="12" s="1"/>
  <c r="X75" i="16"/>
  <c r="K73" i="12" s="1"/>
  <c r="X76" i="16"/>
  <c r="K74" i="12" s="1"/>
  <c r="X77" i="16"/>
  <c r="K75" i="12" s="1"/>
  <c r="X79" i="16"/>
  <c r="K76" i="12" s="1"/>
  <c r="X80" i="16"/>
  <c r="K77" i="12" s="1"/>
  <c r="X81" i="16"/>
  <c r="K78" i="12" s="1"/>
  <c r="X82" i="16"/>
  <c r="K79" i="12" s="1"/>
  <c r="X83" i="16"/>
  <c r="K80" i="12" s="1"/>
  <c r="X84" i="16"/>
  <c r="K81" i="12" s="1"/>
  <c r="X85" i="16"/>
  <c r="K82" i="12" s="1"/>
  <c r="X86" i="16"/>
  <c r="K83" i="12" s="1"/>
  <c r="X87" i="16"/>
  <c r="K84" i="12" s="1"/>
  <c r="X88" i="16"/>
  <c r="K85" i="12" s="1"/>
  <c r="X89" i="16"/>
  <c r="K86" i="12" s="1"/>
  <c r="X90" i="16"/>
  <c r="K87" i="12" s="1"/>
  <c r="X91" i="16"/>
  <c r="K88" i="12" s="1"/>
  <c r="X92" i="16"/>
  <c r="K89" i="12" s="1"/>
  <c r="X93" i="16"/>
  <c r="K90" i="12" s="1"/>
  <c r="X94" i="16"/>
  <c r="K91" i="12" s="1"/>
  <c r="X95" i="16"/>
  <c r="K92" i="12" s="1"/>
  <c r="X96" i="16"/>
  <c r="K93" i="12" s="1"/>
  <c r="X97" i="16"/>
  <c r="K94" i="12" s="1"/>
  <c r="X99" i="16"/>
  <c r="K95" i="12" s="1"/>
  <c r="K96" i="12"/>
  <c r="K97" i="12"/>
  <c r="K98" i="12"/>
  <c r="K99" i="12"/>
  <c r="K100" i="12"/>
  <c r="K101" i="12"/>
  <c r="K102" i="12"/>
  <c r="K103" i="12"/>
  <c r="V11" i="16"/>
  <c r="J11" i="12" s="1"/>
  <c r="V12" i="16"/>
  <c r="J12" i="12" s="1"/>
  <c r="V13" i="16"/>
  <c r="J13" i="12" s="1"/>
  <c r="V14" i="16"/>
  <c r="J14" i="12" s="1"/>
  <c r="V15" i="16"/>
  <c r="J15" i="12" s="1"/>
  <c r="V16" i="16"/>
  <c r="J16" i="12" s="1"/>
  <c r="V17" i="16"/>
  <c r="J17" i="12" s="1"/>
  <c r="V18" i="16"/>
  <c r="J18" i="12" s="1"/>
  <c r="V19" i="16"/>
  <c r="J19" i="12" s="1"/>
  <c r="V20" i="16"/>
  <c r="J20" i="12" s="1"/>
  <c r="V21" i="16"/>
  <c r="J21" i="12" s="1"/>
  <c r="V22" i="16"/>
  <c r="J22" i="12" s="1"/>
  <c r="V23" i="16"/>
  <c r="J23" i="12" s="1"/>
  <c r="V24" i="16"/>
  <c r="J24" i="12" s="1"/>
  <c r="V25" i="16"/>
  <c r="J25" i="12" s="1"/>
  <c r="V26" i="16"/>
  <c r="J26" i="12" s="1"/>
  <c r="V27" i="16"/>
  <c r="J27" i="12" s="1"/>
  <c r="V28" i="16"/>
  <c r="J28" i="12" s="1"/>
  <c r="V29" i="16"/>
  <c r="J29" i="12" s="1"/>
  <c r="V30" i="16"/>
  <c r="J30" i="12" s="1"/>
  <c r="V31" i="16"/>
  <c r="J31" i="12" s="1"/>
  <c r="V33" i="16"/>
  <c r="J32" i="12" s="1"/>
  <c r="V34" i="16"/>
  <c r="J33" i="12" s="1"/>
  <c r="J34" i="12"/>
  <c r="J35" i="12"/>
  <c r="J36" i="12"/>
  <c r="J37" i="12"/>
  <c r="J38" i="12"/>
  <c r="J39" i="12"/>
  <c r="J40" i="12"/>
  <c r="J41" i="12"/>
  <c r="J42" i="12"/>
  <c r="J43" i="12"/>
  <c r="J44" i="12"/>
  <c r="J45" i="12"/>
  <c r="V48" i="16"/>
  <c r="J46" i="12" s="1"/>
  <c r="V49" i="16"/>
  <c r="J47" i="12" s="1"/>
  <c r="V50" i="16"/>
  <c r="J48" i="12" s="1"/>
  <c r="V51" i="16"/>
  <c r="J49" i="12" s="1"/>
  <c r="V52" i="16"/>
  <c r="J50" i="12" s="1"/>
  <c r="V53" i="16"/>
  <c r="J51" i="12" s="1"/>
  <c r="V54" i="16"/>
  <c r="J52" i="12" s="1"/>
  <c r="V55" i="16"/>
  <c r="J53" i="12" s="1"/>
  <c r="V56" i="16"/>
  <c r="J54" i="12" s="1"/>
  <c r="V57" i="16"/>
  <c r="J55" i="12" s="1"/>
  <c r="V58" i="16"/>
  <c r="J56" i="12" s="1"/>
  <c r="V59" i="16"/>
  <c r="J57" i="12" s="1"/>
  <c r="V60" i="16"/>
  <c r="J58" i="12" s="1"/>
  <c r="V61" i="16"/>
  <c r="J59" i="12" s="1"/>
  <c r="V62" i="16"/>
  <c r="J60" i="12" s="1"/>
  <c r="V63" i="16"/>
  <c r="J61" i="12" s="1"/>
  <c r="V64" i="16"/>
  <c r="J62" i="12" s="1"/>
  <c r="V65" i="16"/>
  <c r="J63" i="12" s="1"/>
  <c r="V66" i="16"/>
  <c r="J64" i="12" s="1"/>
  <c r="V67" i="16"/>
  <c r="J65" i="12" s="1"/>
  <c r="V68" i="16"/>
  <c r="J66" i="12" s="1"/>
  <c r="V69" i="16"/>
  <c r="J67" i="12" s="1"/>
  <c r="V70" i="16"/>
  <c r="J68" i="12" s="1"/>
  <c r="V71" i="16"/>
  <c r="J69" i="12" s="1"/>
  <c r="V72" i="16"/>
  <c r="J70" i="12" s="1"/>
  <c r="V73" i="16"/>
  <c r="J71" i="12" s="1"/>
  <c r="V74" i="16"/>
  <c r="J72" i="12" s="1"/>
  <c r="V75" i="16"/>
  <c r="J73" i="12" s="1"/>
  <c r="V76" i="16"/>
  <c r="J74" i="12" s="1"/>
  <c r="V77" i="16"/>
  <c r="J75" i="12" s="1"/>
  <c r="V79" i="16"/>
  <c r="J76" i="12" s="1"/>
  <c r="V80" i="16"/>
  <c r="J77" i="12" s="1"/>
  <c r="V81" i="16"/>
  <c r="J78" i="12" s="1"/>
  <c r="V82" i="16"/>
  <c r="J79" i="12" s="1"/>
  <c r="V83" i="16"/>
  <c r="J80" i="12" s="1"/>
  <c r="V84" i="16"/>
  <c r="J81" i="12" s="1"/>
  <c r="V85" i="16"/>
  <c r="J82" i="12" s="1"/>
  <c r="V86" i="16"/>
  <c r="J83" i="12" s="1"/>
  <c r="V87" i="16"/>
  <c r="J84" i="12" s="1"/>
  <c r="V88" i="16"/>
  <c r="J85" i="12" s="1"/>
  <c r="V89" i="16"/>
  <c r="J86" i="12" s="1"/>
  <c r="V90" i="16"/>
  <c r="J87" i="12" s="1"/>
  <c r="V91" i="16"/>
  <c r="J88" i="12" s="1"/>
  <c r="V92" i="16"/>
  <c r="J89" i="12" s="1"/>
  <c r="V93" i="16"/>
  <c r="J90" i="12" s="1"/>
  <c r="V94" i="16"/>
  <c r="J91" i="12" s="1"/>
  <c r="V95" i="16"/>
  <c r="J92" i="12" s="1"/>
  <c r="V96" i="16"/>
  <c r="J93" i="12" s="1"/>
  <c r="V97" i="16"/>
  <c r="J94" i="12" s="1"/>
  <c r="V99" i="16"/>
  <c r="J95" i="12" s="1"/>
  <c r="J96" i="12"/>
  <c r="J97" i="12"/>
  <c r="J98" i="12"/>
  <c r="J99" i="12"/>
  <c r="J100" i="12"/>
  <c r="J101" i="12"/>
  <c r="J102" i="12"/>
  <c r="J103" i="12"/>
  <c r="N11" i="16"/>
  <c r="N12" i="16"/>
  <c r="N13" i="16"/>
  <c r="N14" i="16"/>
  <c r="N15" i="16"/>
  <c r="N16" i="16"/>
  <c r="N17" i="16"/>
  <c r="N18" i="16"/>
  <c r="N19" i="16"/>
  <c r="N20" i="16"/>
  <c r="N21" i="16"/>
  <c r="N22" i="16"/>
  <c r="N23" i="16"/>
  <c r="N24" i="16"/>
  <c r="N25" i="16"/>
  <c r="N26" i="16"/>
  <c r="N27" i="16"/>
  <c r="N28" i="16"/>
  <c r="N29" i="16"/>
  <c r="N30" i="16"/>
  <c r="N31" i="16"/>
  <c r="N33" i="16"/>
  <c r="N34" i="16"/>
  <c r="N35" i="16"/>
  <c r="N36" i="16"/>
  <c r="N37" i="16"/>
  <c r="N38" i="16"/>
  <c r="T38" i="16" s="1"/>
  <c r="N39" i="16"/>
  <c r="T39" i="16" s="1"/>
  <c r="N40" i="16"/>
  <c r="T40" i="16" s="1"/>
  <c r="N41" i="16"/>
  <c r="N42" i="16"/>
  <c r="N43" i="16"/>
  <c r="T43" i="16" s="1"/>
  <c r="N44" i="16"/>
  <c r="T44" i="16" s="1"/>
  <c r="N94" i="16"/>
  <c r="T94" i="16" s="1"/>
  <c r="N95" i="16"/>
  <c r="T95" i="16" s="1"/>
  <c r="N96" i="16"/>
  <c r="T96" i="16" s="1"/>
  <c r="N97" i="16"/>
  <c r="N99" i="16"/>
  <c r="K11" i="16"/>
  <c r="F11" i="12" s="1"/>
  <c r="K12" i="16"/>
  <c r="F12" i="12" s="1"/>
  <c r="K13" i="16"/>
  <c r="F13" i="12" s="1"/>
  <c r="K14" i="16"/>
  <c r="F14" i="12" s="1"/>
  <c r="K15" i="16"/>
  <c r="F15" i="12" s="1"/>
  <c r="K16" i="16"/>
  <c r="F16" i="12" s="1"/>
  <c r="K17" i="16"/>
  <c r="F17" i="12" s="1"/>
  <c r="K18" i="16"/>
  <c r="F18" i="12" s="1"/>
  <c r="K19" i="16"/>
  <c r="F19" i="12" s="1"/>
  <c r="K20" i="16"/>
  <c r="F20" i="12" s="1"/>
  <c r="K21" i="16"/>
  <c r="F21" i="12" s="1"/>
  <c r="K22" i="16"/>
  <c r="F22" i="12" s="1"/>
  <c r="K23" i="16"/>
  <c r="F23" i="12" s="1"/>
  <c r="K24" i="16"/>
  <c r="F24" i="12" s="1"/>
  <c r="K25" i="16"/>
  <c r="F25" i="12" s="1"/>
  <c r="K26" i="16"/>
  <c r="F26" i="12" s="1"/>
  <c r="K27" i="16"/>
  <c r="F27" i="12" s="1"/>
  <c r="K28" i="16"/>
  <c r="F28" i="12" s="1"/>
  <c r="K29" i="16"/>
  <c r="F29" i="12" s="1"/>
  <c r="K30" i="16"/>
  <c r="F30" i="12" s="1"/>
  <c r="K31" i="16"/>
  <c r="F31" i="12" s="1"/>
  <c r="K33" i="16"/>
  <c r="F32" i="12" s="1"/>
  <c r="K34" i="16"/>
  <c r="F33" i="12" s="1"/>
  <c r="K35" i="16"/>
  <c r="F34" i="12" s="1"/>
  <c r="K36" i="16"/>
  <c r="F35" i="12" s="1"/>
  <c r="K37" i="16"/>
  <c r="F36" i="12" s="1"/>
  <c r="K38" i="16"/>
  <c r="F37" i="12" s="1"/>
  <c r="K39" i="16"/>
  <c r="F38" i="12" s="1"/>
  <c r="K40" i="16"/>
  <c r="F39" i="12" s="1"/>
  <c r="K41" i="16"/>
  <c r="K42" i="16"/>
  <c r="F41" i="12" s="1"/>
  <c r="K43" i="16"/>
  <c r="F42" i="12" s="1"/>
  <c r="K44" i="16"/>
  <c r="F43" i="12" s="1"/>
  <c r="K45" i="16"/>
  <c r="F44" i="12" s="1"/>
  <c r="K46" i="16"/>
  <c r="F45" i="12" s="1"/>
  <c r="K48" i="16"/>
  <c r="F46" i="12" s="1"/>
  <c r="K49" i="16"/>
  <c r="F47" i="12" s="1"/>
  <c r="K50" i="16"/>
  <c r="F48" i="12" s="1"/>
  <c r="K51" i="16"/>
  <c r="F49" i="12" s="1"/>
  <c r="K52" i="16"/>
  <c r="F50" i="12" s="1"/>
  <c r="K53" i="16"/>
  <c r="F51" i="12" s="1"/>
  <c r="K54" i="16"/>
  <c r="F52" i="12" s="1"/>
  <c r="K55" i="16"/>
  <c r="F53" i="12" s="1"/>
  <c r="K56" i="16"/>
  <c r="F54" i="12" s="1"/>
  <c r="K57" i="16"/>
  <c r="F55" i="12" s="1"/>
  <c r="K58" i="16"/>
  <c r="F56" i="12" s="1"/>
  <c r="K59" i="16"/>
  <c r="F57" i="12" s="1"/>
  <c r="K60" i="16"/>
  <c r="F58" i="12" s="1"/>
  <c r="K61" i="16"/>
  <c r="F59" i="12" s="1"/>
  <c r="K62" i="16"/>
  <c r="F60" i="12" s="1"/>
  <c r="K63" i="16"/>
  <c r="F61" i="12" s="1"/>
  <c r="K64" i="16"/>
  <c r="F62" i="12" s="1"/>
  <c r="K65" i="16"/>
  <c r="F63" i="12" s="1"/>
  <c r="K66" i="16"/>
  <c r="F64" i="12" s="1"/>
  <c r="K67" i="16"/>
  <c r="F65" i="12" s="1"/>
  <c r="K68" i="16"/>
  <c r="F66" i="12" s="1"/>
  <c r="K69" i="16"/>
  <c r="F67" i="12" s="1"/>
  <c r="K70" i="16"/>
  <c r="F68" i="12" s="1"/>
  <c r="K71" i="16"/>
  <c r="F69" i="12" s="1"/>
  <c r="K72" i="16"/>
  <c r="F70" i="12" s="1"/>
  <c r="K73" i="16"/>
  <c r="F71" i="12" s="1"/>
  <c r="K74" i="16"/>
  <c r="F72" i="12" s="1"/>
  <c r="K75" i="16"/>
  <c r="F73" i="12" s="1"/>
  <c r="K76" i="16"/>
  <c r="F74" i="12" s="1"/>
  <c r="K77" i="16"/>
  <c r="F75" i="12" s="1"/>
  <c r="K79" i="16"/>
  <c r="F76" i="12" s="1"/>
  <c r="K80" i="16"/>
  <c r="F77" i="12" s="1"/>
  <c r="K81" i="16"/>
  <c r="F78" i="12" s="1"/>
  <c r="K82" i="16"/>
  <c r="F79" i="12" s="1"/>
  <c r="K83" i="16"/>
  <c r="F80" i="12" s="1"/>
  <c r="K84" i="16"/>
  <c r="F81" i="12" s="1"/>
  <c r="K85" i="16"/>
  <c r="F82" i="12" s="1"/>
  <c r="K86" i="16"/>
  <c r="F83" i="12" s="1"/>
  <c r="K87" i="16"/>
  <c r="F84" i="12" s="1"/>
  <c r="K88" i="16"/>
  <c r="F85" i="12" s="1"/>
  <c r="K89" i="16"/>
  <c r="F86" i="12" s="1"/>
  <c r="K90" i="16"/>
  <c r="F87" i="12" s="1"/>
  <c r="K91" i="16"/>
  <c r="F88" i="12" s="1"/>
  <c r="K92" i="16"/>
  <c r="F89" i="12" s="1"/>
  <c r="K93" i="16"/>
  <c r="F90" i="12" s="1"/>
  <c r="K94" i="16"/>
  <c r="F91" i="12" s="1"/>
  <c r="K95" i="16"/>
  <c r="F92" i="12" s="1"/>
  <c r="K96" i="16"/>
  <c r="F93" i="12" s="1"/>
  <c r="K97" i="16"/>
  <c r="F94" i="12" s="1"/>
  <c r="K99" i="16"/>
  <c r="F95" i="12" s="1"/>
  <c r="F96" i="12"/>
  <c r="F97" i="12"/>
  <c r="F98" i="12"/>
  <c r="F99" i="12"/>
  <c r="F100" i="12"/>
  <c r="F101" i="12"/>
  <c r="F102" i="12"/>
  <c r="F103" i="12"/>
  <c r="G12" i="12" l="1"/>
  <c r="G11" i="12"/>
  <c r="G31" i="12"/>
  <c r="G23" i="12"/>
  <c r="I23" i="12"/>
  <c r="G15" i="12"/>
  <c r="G30" i="12"/>
  <c r="G14" i="12"/>
  <c r="G29" i="12"/>
  <c r="I29" i="12"/>
  <c r="G21" i="12"/>
  <c r="G13" i="12"/>
  <c r="G36" i="12"/>
  <c r="T37" i="16"/>
  <c r="G28" i="12"/>
  <c r="I28" i="12"/>
  <c r="G20" i="12"/>
  <c r="G35" i="12"/>
  <c r="T36" i="16"/>
  <c r="G27" i="12"/>
  <c r="G19" i="12"/>
  <c r="I19" i="12"/>
  <c r="G18" i="12"/>
  <c r="G22" i="12"/>
  <c r="G34" i="12"/>
  <c r="T35" i="16"/>
  <c r="G26" i="12"/>
  <c r="I26" i="12"/>
  <c r="G41" i="12"/>
  <c r="T42" i="16"/>
  <c r="G33" i="12"/>
  <c r="T34" i="16"/>
  <c r="I33" i="12" s="1"/>
  <c r="G25" i="12"/>
  <c r="G17" i="12"/>
  <c r="I17" i="12"/>
  <c r="G40" i="12"/>
  <c r="T41" i="16"/>
  <c r="I40" i="12" s="1"/>
  <c r="G32" i="12"/>
  <c r="T33" i="16"/>
  <c r="I32" i="12" s="1"/>
  <c r="G24" i="12"/>
  <c r="I24" i="12"/>
  <c r="G16" i="12"/>
  <c r="I16" i="12"/>
  <c r="F119" i="19"/>
  <c r="AF119" i="12"/>
  <c r="AE117" i="12"/>
  <c r="AF116" i="12"/>
  <c r="AE119" i="12"/>
  <c r="AF117" i="12"/>
  <c r="F117" i="19"/>
  <c r="AE116" i="12"/>
  <c r="AW13" i="18"/>
  <c r="F114" i="19" s="1"/>
  <c r="AE114" i="12"/>
  <c r="Z111" i="12"/>
  <c r="AF113" i="12"/>
  <c r="Y111" i="12"/>
  <c r="AA111" i="12"/>
  <c r="I37" i="12"/>
  <c r="G37" i="12"/>
  <c r="F40" i="12"/>
  <c r="I103" i="12"/>
  <c r="G103" i="12"/>
  <c r="G99" i="12"/>
  <c r="I95" i="12"/>
  <c r="G95" i="12"/>
  <c r="I91" i="12"/>
  <c r="G91" i="12"/>
  <c r="I100" i="12"/>
  <c r="G100" i="12"/>
  <c r="I102" i="12"/>
  <c r="G102" i="12"/>
  <c r="I98" i="12"/>
  <c r="G98" i="12"/>
  <c r="I94" i="12"/>
  <c r="G94" i="12"/>
  <c r="I43" i="12"/>
  <c r="G43" i="12"/>
  <c r="I39" i="12"/>
  <c r="G39" i="12"/>
  <c r="I96" i="12"/>
  <c r="G96" i="12"/>
  <c r="I92" i="12"/>
  <c r="G92" i="12"/>
  <c r="I101" i="12"/>
  <c r="G101" i="12"/>
  <c r="I97" i="12"/>
  <c r="G97" i="12"/>
  <c r="I93" i="12"/>
  <c r="G93" i="12"/>
  <c r="I42" i="12"/>
  <c r="G42" i="12"/>
  <c r="I38" i="12"/>
  <c r="G38" i="12"/>
  <c r="AV10" i="18"/>
  <c r="AE111" i="12" s="1"/>
  <c r="I11" i="12"/>
  <c r="I13" i="12"/>
  <c r="I35" i="12"/>
  <c r="I31" i="12"/>
  <c r="I27" i="12"/>
  <c r="I14" i="12"/>
  <c r="I36" i="12"/>
  <c r="I12" i="12"/>
  <c r="I34" i="12"/>
  <c r="I22" i="12"/>
  <c r="I18" i="12"/>
  <c r="I15" i="12"/>
  <c r="I25" i="12"/>
  <c r="I21" i="12"/>
  <c r="I20" i="12"/>
  <c r="O41" i="16"/>
  <c r="P41" i="16" s="1"/>
  <c r="O99" i="16"/>
  <c r="O94" i="16"/>
  <c r="O15" i="16"/>
  <c r="O97" i="16" l="1"/>
  <c r="P97" i="16" s="1"/>
  <c r="O95" i="16"/>
  <c r="P95" i="16" s="1"/>
  <c r="O38" i="16"/>
  <c r="P38" i="16" s="1"/>
  <c r="O23" i="16"/>
  <c r="P23" i="16" s="1"/>
  <c r="H23" i="12" s="1"/>
  <c r="O44" i="16"/>
  <c r="P44" i="16" s="1"/>
  <c r="O96" i="16"/>
  <c r="P96" i="16" s="1"/>
  <c r="O28" i="16"/>
  <c r="P28" i="16" s="1"/>
  <c r="H28" i="12" s="1"/>
  <c r="AF114" i="12"/>
  <c r="O27" i="16"/>
  <c r="P27" i="16" s="1"/>
  <c r="H27" i="12" s="1"/>
  <c r="O40" i="16"/>
  <c r="P40" i="16" s="1"/>
  <c r="O35" i="16"/>
  <c r="P35" i="16" s="1"/>
  <c r="H34" i="12" s="1"/>
  <c r="O12" i="16"/>
  <c r="P12" i="16" s="1"/>
  <c r="H12" i="12" s="1"/>
  <c r="O43" i="16"/>
  <c r="P43" i="16" s="1"/>
  <c r="I30" i="12"/>
  <c r="O39" i="16"/>
  <c r="P39" i="16" s="1"/>
  <c r="O22" i="16"/>
  <c r="P22" i="16" s="1"/>
  <c r="H22" i="12" s="1"/>
  <c r="O34" i="16"/>
  <c r="P34" i="16" s="1"/>
  <c r="H33" i="12" s="1"/>
  <c r="O31" i="16"/>
  <c r="P31" i="16" s="1"/>
  <c r="H31" i="12" s="1"/>
  <c r="O37" i="16"/>
  <c r="P37" i="16" s="1"/>
  <c r="H36" i="12" s="1"/>
  <c r="O42" i="16"/>
  <c r="P42" i="16" s="1"/>
  <c r="I41" i="12"/>
  <c r="AK41" i="16"/>
  <c r="H40" i="12"/>
  <c r="AW10" i="18"/>
  <c r="O26" i="16"/>
  <c r="P26" i="16" s="1"/>
  <c r="H26" i="12" s="1"/>
  <c r="O19" i="16"/>
  <c r="P19" i="16" s="1"/>
  <c r="H19" i="12" s="1"/>
  <c r="O36" i="16"/>
  <c r="P36" i="16" s="1"/>
  <c r="H35" i="12" s="1"/>
  <c r="O17" i="16"/>
  <c r="P17" i="16" s="1"/>
  <c r="H17" i="12" s="1"/>
  <c r="O13" i="16"/>
  <c r="P13" i="16" s="1"/>
  <c r="H13" i="12" s="1"/>
  <c r="O29" i="16"/>
  <c r="P29" i="16" s="1"/>
  <c r="H29" i="12" s="1"/>
  <c r="O24" i="16"/>
  <c r="P24" i="16" s="1"/>
  <c r="H24" i="12" s="1"/>
  <c r="O30" i="16"/>
  <c r="P30" i="16" s="1"/>
  <c r="H30" i="12" s="1"/>
  <c r="P94" i="16"/>
  <c r="O33" i="16"/>
  <c r="P33" i="16" s="1"/>
  <c r="H32" i="12" s="1"/>
  <c r="O14" i="16"/>
  <c r="P99" i="16"/>
  <c r="O20" i="16"/>
  <c r="O25" i="16"/>
  <c r="P25" i="16" s="1"/>
  <c r="H25" i="12" s="1"/>
  <c r="O16" i="16"/>
  <c r="P16" i="16" s="1"/>
  <c r="H16" i="12" s="1"/>
  <c r="P15" i="16"/>
  <c r="H15" i="12" s="1"/>
  <c r="O18" i="16"/>
  <c r="O21" i="16"/>
  <c r="AO41" i="16" l="1"/>
  <c r="Y40" i="12" s="1"/>
  <c r="AK28" i="16"/>
  <c r="AK29" i="16"/>
  <c r="AK12" i="16"/>
  <c r="AW30" i="18"/>
  <c r="F111" i="19"/>
  <c r="AF111" i="12"/>
  <c r="AN41" i="16"/>
  <c r="X40" i="12" s="1"/>
  <c r="AQ41" i="16"/>
  <c r="Z40" i="12" s="1"/>
  <c r="H101" i="12"/>
  <c r="AK95" i="16"/>
  <c r="H92" i="12"/>
  <c r="H97" i="12"/>
  <c r="AK40" i="16"/>
  <c r="H39" i="12"/>
  <c r="H96" i="12"/>
  <c r="H103" i="12"/>
  <c r="AK38" i="16"/>
  <c r="H37" i="12"/>
  <c r="AA40" i="12"/>
  <c r="U40" i="12"/>
  <c r="AK39" i="16"/>
  <c r="H38" i="12"/>
  <c r="H98" i="12"/>
  <c r="H102" i="12"/>
  <c r="AK94" i="16"/>
  <c r="H91" i="12"/>
  <c r="AK44" i="16"/>
  <c r="AR44" i="16" s="1"/>
  <c r="H43" i="12"/>
  <c r="AK96" i="16"/>
  <c r="H93" i="12"/>
  <c r="AK42" i="16"/>
  <c r="AR42" i="16" s="1"/>
  <c r="H41" i="12"/>
  <c r="AK43" i="16"/>
  <c r="AR43" i="16" s="1"/>
  <c r="H42" i="12"/>
  <c r="AK99" i="16"/>
  <c r="H95" i="12"/>
  <c r="AK97" i="16"/>
  <c r="H94" i="12"/>
  <c r="AN28" i="16"/>
  <c r="X28" i="12" s="1"/>
  <c r="AK22" i="16"/>
  <c r="AK17" i="16"/>
  <c r="AK13" i="16"/>
  <c r="AK24" i="16"/>
  <c r="Y12" i="12"/>
  <c r="AK35" i="16"/>
  <c r="AK23" i="16"/>
  <c r="P14" i="16"/>
  <c r="H14" i="12" s="1"/>
  <c r="AK34" i="16"/>
  <c r="AK31" i="16"/>
  <c r="P18" i="16"/>
  <c r="H18" i="12" s="1"/>
  <c r="AK15" i="16"/>
  <c r="AK27" i="16"/>
  <c r="AK25" i="16"/>
  <c r="AK36" i="16"/>
  <c r="AK33" i="16"/>
  <c r="AK30" i="16"/>
  <c r="P21" i="16"/>
  <c r="H21" i="12" s="1"/>
  <c r="AK16" i="16"/>
  <c r="AK37" i="16"/>
  <c r="Y29" i="12"/>
  <c r="AK26" i="16"/>
  <c r="P20" i="16"/>
  <c r="H20" i="12" s="1"/>
  <c r="AK19" i="16"/>
  <c r="AO43" i="16" l="1"/>
  <c r="AO40" i="16"/>
  <c r="Y39" i="12" s="1"/>
  <c r="AO38" i="16"/>
  <c r="AO42" i="16"/>
  <c r="Y41" i="12" s="1"/>
  <c r="AA41" i="12"/>
  <c r="AO39" i="16"/>
  <c r="AO37" i="16"/>
  <c r="AO44" i="16"/>
  <c r="Y43" i="12" s="1"/>
  <c r="AO36" i="16"/>
  <c r="AO35" i="16"/>
  <c r="AA28" i="12"/>
  <c r="AQ12" i="16"/>
  <c r="Z12" i="12" s="1"/>
  <c r="Y28" i="12"/>
  <c r="AQ28" i="16"/>
  <c r="Z28" i="12" s="1"/>
  <c r="Z103" i="12"/>
  <c r="U29" i="12"/>
  <c r="U28" i="12"/>
  <c r="AN40" i="16"/>
  <c r="X39" i="12" s="1"/>
  <c r="F131" i="19"/>
  <c r="AF131" i="12"/>
  <c r="AQ40" i="16"/>
  <c r="Z39" i="12" s="1"/>
  <c r="AN39" i="16"/>
  <c r="X38" i="12" s="1"/>
  <c r="AN94" i="16"/>
  <c r="X91" i="12" s="1"/>
  <c r="AQ29" i="16"/>
  <c r="Z29" i="12" s="1"/>
  <c r="U94" i="12"/>
  <c r="AQ42" i="16"/>
  <c r="Z41" i="12" s="1"/>
  <c r="U91" i="12"/>
  <c r="U38" i="12"/>
  <c r="AA38" i="12"/>
  <c r="U103" i="12"/>
  <c r="AA103" i="12"/>
  <c r="AQ31" i="16"/>
  <c r="Z31" i="12" s="1"/>
  <c r="U23" i="12"/>
  <c r="AA23" i="12"/>
  <c r="U35" i="12"/>
  <c r="U34" i="12"/>
  <c r="U95" i="12"/>
  <c r="U102" i="12"/>
  <c r="U96" i="12"/>
  <c r="AA96" i="12"/>
  <c r="U97" i="12"/>
  <c r="AA97" i="12"/>
  <c r="U26" i="12"/>
  <c r="U17" i="12"/>
  <c r="U25" i="12"/>
  <c r="U12" i="12"/>
  <c r="U16" i="12"/>
  <c r="U27" i="12"/>
  <c r="U24" i="12"/>
  <c r="U93" i="12"/>
  <c r="U98" i="12"/>
  <c r="U92" i="12"/>
  <c r="AA92" i="12"/>
  <c r="AN29" i="16"/>
  <c r="X29" i="12" s="1"/>
  <c r="AA29" i="12"/>
  <c r="U19" i="12"/>
  <c r="U15" i="12"/>
  <c r="U13" i="12"/>
  <c r="U42" i="12"/>
  <c r="U43" i="12"/>
  <c r="U37" i="12"/>
  <c r="U101" i="12"/>
  <c r="AN42" i="16"/>
  <c r="X41" i="12" s="1"/>
  <c r="Y38" i="12"/>
  <c r="AQ39" i="16"/>
  <c r="Z38" i="12" s="1"/>
  <c r="Y91" i="12"/>
  <c r="AN97" i="16"/>
  <c r="X94" i="12" s="1"/>
  <c r="AA91" i="12"/>
  <c r="Y94" i="12"/>
  <c r="AN12" i="16"/>
  <c r="X12" i="12" s="1"/>
  <c r="AA95" i="12"/>
  <c r="AA94" i="12"/>
  <c r="AQ94" i="16"/>
  <c r="Z91" i="12" s="1"/>
  <c r="Y103" i="12"/>
  <c r="AQ97" i="16"/>
  <c r="Z94" i="12" s="1"/>
  <c r="X103" i="12"/>
  <c r="X98" i="12"/>
  <c r="AA43" i="12"/>
  <c r="AA101" i="12"/>
  <c r="Y98" i="12"/>
  <c r="AQ96" i="16"/>
  <c r="Z93" i="12" s="1"/>
  <c r="AN96" i="16"/>
  <c r="X93" i="12" s="1"/>
  <c r="AA98" i="12"/>
  <c r="Y93" i="12"/>
  <c r="AQ95" i="16"/>
  <c r="Z92" i="12" s="1"/>
  <c r="AA93" i="12"/>
  <c r="AN95" i="16"/>
  <c r="X92" i="12" s="1"/>
  <c r="AN36" i="16"/>
  <c r="X35" i="12" s="1"/>
  <c r="Y92" i="12"/>
  <c r="AQ36" i="16"/>
  <c r="Z35" i="12" s="1"/>
  <c r="Y35" i="12"/>
  <c r="Z98" i="12"/>
  <c r="AV41" i="16"/>
  <c r="AE40" i="12" s="1"/>
  <c r="AQ33" i="16"/>
  <c r="Z32" i="12" s="1"/>
  <c r="U32" i="12"/>
  <c r="AQ22" i="16"/>
  <c r="Z22" i="12" s="1"/>
  <c r="U22" i="12"/>
  <c r="Y32" i="12"/>
  <c r="Y42" i="12"/>
  <c r="Z102" i="12"/>
  <c r="AA22" i="12"/>
  <c r="X102" i="12"/>
  <c r="Y101" i="12"/>
  <c r="Y37" i="12"/>
  <c r="Y97" i="12"/>
  <c r="AQ99" i="16"/>
  <c r="Z95" i="12" s="1"/>
  <c r="Y96" i="12"/>
  <c r="Y102" i="12"/>
  <c r="AQ43" i="16"/>
  <c r="Z42" i="12" s="1"/>
  <c r="AN44" i="16"/>
  <c r="X43" i="12" s="1"/>
  <c r="Z101" i="12"/>
  <c r="AN38" i="16"/>
  <c r="X37" i="12" s="1"/>
  <c r="X97" i="12"/>
  <c r="AN99" i="16"/>
  <c r="X95" i="12" s="1"/>
  <c r="X96" i="12"/>
  <c r="AA102" i="12"/>
  <c r="AN37" i="16"/>
  <c r="X36" i="12" s="1"/>
  <c r="U36" i="12"/>
  <c r="Y33" i="12"/>
  <c r="U33" i="12"/>
  <c r="AN22" i="16"/>
  <c r="X22" i="12" s="1"/>
  <c r="Y30" i="12"/>
  <c r="U30" i="12"/>
  <c r="Y22" i="12"/>
  <c r="AN31" i="16"/>
  <c r="X31" i="12" s="1"/>
  <c r="U31" i="12"/>
  <c r="AQ44" i="16"/>
  <c r="Z43" i="12" s="1"/>
  <c r="X101" i="12"/>
  <c r="AQ38" i="16"/>
  <c r="Z37" i="12" s="1"/>
  <c r="Z97" i="12"/>
  <c r="Y95" i="12"/>
  <c r="Z96" i="12"/>
  <c r="AN43" i="16"/>
  <c r="X42" i="12" s="1"/>
  <c r="U41" i="12"/>
  <c r="AA39" i="12"/>
  <c r="U39" i="12"/>
  <c r="H100" i="12"/>
  <c r="AA42" i="12"/>
  <c r="AQ34" i="16"/>
  <c r="Z33" i="12" s="1"/>
  <c r="AN34" i="16"/>
  <c r="X33" i="12" s="1"/>
  <c r="Y31" i="12"/>
  <c r="Y34" i="12"/>
  <c r="AQ37" i="16"/>
  <c r="Z36" i="12" s="1"/>
  <c r="AK14" i="16"/>
  <c r="Y24" i="12"/>
  <c r="AA24" i="12"/>
  <c r="AQ24" i="16"/>
  <c r="Z24" i="12" s="1"/>
  <c r="AN24" i="16"/>
  <c r="X24" i="12" s="1"/>
  <c r="AN33" i="16"/>
  <c r="X32" i="12" s="1"/>
  <c r="AN23" i="16"/>
  <c r="X23" i="12" s="1"/>
  <c r="Y23" i="12"/>
  <c r="AQ23" i="16"/>
  <c r="Z23" i="12" s="1"/>
  <c r="AK18" i="16"/>
  <c r="AQ35" i="16"/>
  <c r="Z34" i="12" s="1"/>
  <c r="AN35" i="16"/>
  <c r="X34" i="12" s="1"/>
  <c r="AN13" i="16"/>
  <c r="X13" i="12" s="1"/>
  <c r="Y13" i="12"/>
  <c r="AQ13" i="16"/>
  <c r="Z13" i="12" s="1"/>
  <c r="AA13" i="12"/>
  <c r="AA17" i="12"/>
  <c r="AQ17" i="16"/>
  <c r="Z17" i="12" s="1"/>
  <c r="AN17" i="16"/>
  <c r="X17" i="12" s="1"/>
  <c r="Y17" i="12"/>
  <c r="AA15" i="12"/>
  <c r="AQ15" i="16"/>
  <c r="Z15" i="12" s="1"/>
  <c r="AN15" i="16"/>
  <c r="X15" i="12" s="1"/>
  <c r="Y15" i="12"/>
  <c r="AA19" i="12"/>
  <c r="AQ19" i="16"/>
  <c r="Z19" i="12" s="1"/>
  <c r="AN19" i="16"/>
  <c r="X19" i="12" s="1"/>
  <c r="Y19" i="12"/>
  <c r="AA36" i="12"/>
  <c r="AN30" i="16"/>
  <c r="X30" i="12" s="1"/>
  <c r="Y36" i="12"/>
  <c r="AK20" i="16"/>
  <c r="AK21" i="16"/>
  <c r="AA25" i="12"/>
  <c r="Y25" i="12"/>
  <c r="AQ25" i="16"/>
  <c r="Z25" i="12" s="1"/>
  <c r="AN25" i="16"/>
  <c r="X25" i="12" s="1"/>
  <c r="AA27" i="12"/>
  <c r="AQ27" i="16"/>
  <c r="Z27" i="12" s="1"/>
  <c r="Y27" i="12"/>
  <c r="AN27" i="16"/>
  <c r="X27" i="12" s="1"/>
  <c r="AQ30" i="16"/>
  <c r="Z30" i="12" s="1"/>
  <c r="AA26" i="12"/>
  <c r="AN26" i="16"/>
  <c r="X26" i="12" s="1"/>
  <c r="AQ26" i="16"/>
  <c r="Z26" i="12" s="1"/>
  <c r="Y26" i="12"/>
  <c r="AA16" i="12"/>
  <c r="Y16" i="12"/>
  <c r="AN16" i="16"/>
  <c r="X16" i="12" s="1"/>
  <c r="AQ16" i="16"/>
  <c r="Z16" i="12" s="1"/>
  <c r="AV28" i="16" l="1"/>
  <c r="AE28" i="12" s="1"/>
  <c r="AV29" i="16"/>
  <c r="AW29" i="16" s="1"/>
  <c r="F29" i="19" s="1"/>
  <c r="H131" i="19"/>
  <c r="AV94" i="16"/>
  <c r="AW94" i="16" s="1"/>
  <c r="F91" i="19" s="1"/>
  <c r="AV39" i="16"/>
  <c r="AW39" i="16" s="1"/>
  <c r="F38" i="19" s="1"/>
  <c r="U100" i="12"/>
  <c r="U20" i="12"/>
  <c r="U18" i="12"/>
  <c r="AA18" i="12"/>
  <c r="U21" i="12"/>
  <c r="AA14" i="12"/>
  <c r="F103" i="19"/>
  <c r="AV97" i="16"/>
  <c r="AW97" i="16" s="1"/>
  <c r="F94" i="19" s="1"/>
  <c r="AV96" i="16"/>
  <c r="AW96" i="16" s="1"/>
  <c r="F93" i="19" s="1"/>
  <c r="AN18" i="16"/>
  <c r="X18" i="12" s="1"/>
  <c r="F98" i="19"/>
  <c r="AV99" i="16"/>
  <c r="AW99" i="16" s="1"/>
  <c r="F95" i="19" s="1"/>
  <c r="Z100" i="12"/>
  <c r="AV95" i="16"/>
  <c r="AW95" i="16" s="1"/>
  <c r="F92" i="19" s="1"/>
  <c r="AQ14" i="16"/>
  <c r="Z14" i="12" s="1"/>
  <c r="U14" i="12"/>
  <c r="AV40" i="16"/>
  <c r="AW40" i="16" s="1"/>
  <c r="F39" i="19" s="1"/>
  <c r="F101" i="19"/>
  <c r="AV22" i="16"/>
  <c r="AE22" i="12" s="1"/>
  <c r="F96" i="19"/>
  <c r="AW41" i="16"/>
  <c r="F40" i="19" s="1"/>
  <c r="AA100" i="12"/>
  <c r="F97" i="19"/>
  <c r="AQ18" i="16"/>
  <c r="Z18" i="12" s="1"/>
  <c r="X100" i="12"/>
  <c r="AV43" i="16"/>
  <c r="AW43" i="16" s="1"/>
  <c r="F42" i="19" s="1"/>
  <c r="AE102" i="12"/>
  <c r="AV44" i="16"/>
  <c r="AW44" i="16" s="1"/>
  <c r="F43" i="19" s="1"/>
  <c r="Y18" i="12"/>
  <c r="Y100" i="12"/>
  <c r="AV42" i="16"/>
  <c r="Y14" i="12"/>
  <c r="AV23" i="16"/>
  <c r="AE23" i="12" s="1"/>
  <c r="AN14" i="16"/>
  <c r="AV24" i="16"/>
  <c r="AE24" i="12" s="1"/>
  <c r="AV26" i="16"/>
  <c r="AE26" i="12" s="1"/>
  <c r="AV16" i="16"/>
  <c r="AE16" i="12" s="1"/>
  <c r="AV27" i="16"/>
  <c r="AE27" i="12" s="1"/>
  <c r="AV15" i="16"/>
  <c r="AE15" i="12" s="1"/>
  <c r="AV17" i="16"/>
  <c r="AE17" i="12" s="1"/>
  <c r="AV13" i="16"/>
  <c r="AE13" i="12" s="1"/>
  <c r="AV25" i="16"/>
  <c r="AE25" i="12" s="1"/>
  <c r="AV19" i="16"/>
  <c r="AE19" i="12" s="1"/>
  <c r="AV37" i="16"/>
  <c r="AA21" i="12"/>
  <c r="Y21" i="12"/>
  <c r="AN21" i="16"/>
  <c r="X21" i="12" s="1"/>
  <c r="AQ21" i="16"/>
  <c r="Z21" i="12" s="1"/>
  <c r="AA20" i="12"/>
  <c r="Y20" i="12"/>
  <c r="AN20" i="16"/>
  <c r="X20" i="12" s="1"/>
  <c r="AQ20" i="16"/>
  <c r="Z20" i="12" s="1"/>
  <c r="N93" i="16"/>
  <c r="T93" i="16" s="1"/>
  <c r="N92" i="16"/>
  <c r="T92" i="16" s="1"/>
  <c r="N91" i="16"/>
  <c r="T91" i="16" s="1"/>
  <c r="N90" i="16"/>
  <c r="N89" i="16"/>
  <c r="T89" i="16" s="1"/>
  <c r="N88" i="16"/>
  <c r="T88" i="16" s="1"/>
  <c r="N87" i="16"/>
  <c r="T87" i="16" s="1"/>
  <c r="N86" i="16"/>
  <c r="T86" i="16" s="1"/>
  <c r="N85" i="16"/>
  <c r="T85" i="16" s="1"/>
  <c r="N84" i="16"/>
  <c r="T84" i="16" s="1"/>
  <c r="N83" i="16"/>
  <c r="T83" i="16" s="1"/>
  <c r="N82" i="16"/>
  <c r="T82" i="16" s="1"/>
  <c r="N81" i="16"/>
  <c r="N80" i="16"/>
  <c r="N79" i="16"/>
  <c r="N77" i="16"/>
  <c r="T77" i="16" s="1"/>
  <c r="N76" i="16"/>
  <c r="T76" i="16" s="1"/>
  <c r="N75" i="16"/>
  <c r="T75" i="16" s="1"/>
  <c r="N74" i="16"/>
  <c r="T74" i="16" s="1"/>
  <c r="N73" i="16"/>
  <c r="T73" i="16" s="1"/>
  <c r="N71" i="16"/>
  <c r="T71" i="16" s="1"/>
  <c r="N72" i="16"/>
  <c r="T72" i="16" s="1"/>
  <c r="N70" i="16"/>
  <c r="T70" i="16" s="1"/>
  <c r="N69" i="16"/>
  <c r="T69" i="16" s="1"/>
  <c r="N46" i="16"/>
  <c r="T46" i="16" s="1"/>
  <c r="N48" i="16"/>
  <c r="N49" i="16"/>
  <c r="T49" i="16" s="1"/>
  <c r="N50" i="16"/>
  <c r="T50" i="16" s="1"/>
  <c r="N51" i="16"/>
  <c r="T51" i="16" s="1"/>
  <c r="N52" i="16"/>
  <c r="T52" i="16" s="1"/>
  <c r="N53" i="16"/>
  <c r="T53" i="16" s="1"/>
  <c r="N54" i="16"/>
  <c r="T54" i="16" s="1"/>
  <c r="N55" i="16"/>
  <c r="T55" i="16" s="1"/>
  <c r="N56" i="16"/>
  <c r="T56" i="16" s="1"/>
  <c r="N57" i="16"/>
  <c r="T57" i="16" s="1"/>
  <c r="N58" i="16"/>
  <c r="T58" i="16" s="1"/>
  <c r="N59" i="16"/>
  <c r="T59" i="16" s="1"/>
  <c r="N60" i="16"/>
  <c r="T60" i="16" s="1"/>
  <c r="N61" i="16"/>
  <c r="T61" i="16" s="1"/>
  <c r="N62" i="16"/>
  <c r="T62" i="16" s="1"/>
  <c r="N63" i="16"/>
  <c r="T63" i="16" s="1"/>
  <c r="N64" i="16"/>
  <c r="T64" i="16" s="1"/>
  <c r="N65" i="16"/>
  <c r="T65" i="16" s="1"/>
  <c r="N66" i="16"/>
  <c r="T66" i="16" s="1"/>
  <c r="N67" i="16"/>
  <c r="T67" i="16" s="1"/>
  <c r="N68" i="16"/>
  <c r="T68" i="16" s="1"/>
  <c r="N45" i="16"/>
  <c r="T45" i="16" s="1"/>
  <c r="AW28" i="16" l="1"/>
  <c r="F28" i="19" s="1"/>
  <c r="AE91" i="12"/>
  <c r="AE98" i="12"/>
  <c r="AE29" i="12"/>
  <c r="AE103" i="12"/>
  <c r="AE94" i="12"/>
  <c r="AE38" i="12"/>
  <c r="AE93" i="12"/>
  <c r="AE101" i="12"/>
  <c r="AE92" i="12"/>
  <c r="AV18" i="16"/>
  <c r="AE18" i="12" s="1"/>
  <c r="AW22" i="16"/>
  <c r="F22" i="19" s="1"/>
  <c r="AE95" i="12"/>
  <c r="AE96" i="12"/>
  <c r="AE39" i="12"/>
  <c r="F102" i="19"/>
  <c r="AF28" i="12"/>
  <c r="F100" i="19"/>
  <c r="AE43" i="12"/>
  <c r="AV14" i="16"/>
  <c r="AE14" i="12" s="1"/>
  <c r="X14" i="12"/>
  <c r="AE42" i="12"/>
  <c r="AF40" i="12"/>
  <c r="AE41" i="12"/>
  <c r="AW42" i="16"/>
  <c r="F41" i="19" s="1"/>
  <c r="AW37" i="16"/>
  <c r="F36" i="19" s="1"/>
  <c r="AE36" i="12"/>
  <c r="AE97" i="12"/>
  <c r="AF29" i="12"/>
  <c r="I62" i="12"/>
  <c r="G62" i="12"/>
  <c r="I50" i="12"/>
  <c r="G50" i="12"/>
  <c r="I46" i="12"/>
  <c r="G46" i="12"/>
  <c r="I73" i="12"/>
  <c r="G73" i="12"/>
  <c r="I77" i="12"/>
  <c r="G77" i="12"/>
  <c r="I81" i="12"/>
  <c r="G81" i="12"/>
  <c r="I85" i="12"/>
  <c r="G85" i="12"/>
  <c r="I89" i="12"/>
  <c r="G89" i="12"/>
  <c r="I65" i="12"/>
  <c r="G65" i="12"/>
  <c r="I61" i="12"/>
  <c r="G61" i="12"/>
  <c r="G57" i="12"/>
  <c r="I53" i="12"/>
  <c r="G53" i="12"/>
  <c r="I49" i="12"/>
  <c r="G49" i="12"/>
  <c r="I45" i="12"/>
  <c r="G45" i="12"/>
  <c r="I69" i="12"/>
  <c r="G69" i="12"/>
  <c r="I74" i="12"/>
  <c r="G74" i="12"/>
  <c r="I78" i="12"/>
  <c r="G78" i="12"/>
  <c r="I82" i="12"/>
  <c r="G82" i="12"/>
  <c r="I86" i="12"/>
  <c r="G86" i="12"/>
  <c r="I90" i="12"/>
  <c r="G90" i="12"/>
  <c r="AF96" i="12"/>
  <c r="AF97" i="12"/>
  <c r="AF38" i="12"/>
  <c r="AF42" i="12"/>
  <c r="AF103" i="12"/>
  <c r="AF95" i="12"/>
  <c r="I54" i="12"/>
  <c r="G54" i="12"/>
  <c r="I66" i="12"/>
  <c r="G66" i="12"/>
  <c r="I58" i="12"/>
  <c r="G58" i="12"/>
  <c r="I70" i="12"/>
  <c r="G70" i="12"/>
  <c r="I64" i="12"/>
  <c r="G64" i="12"/>
  <c r="I60" i="12"/>
  <c r="G60" i="12"/>
  <c r="I56" i="12"/>
  <c r="G56" i="12"/>
  <c r="I52" i="12"/>
  <c r="G52" i="12"/>
  <c r="I48" i="12"/>
  <c r="G48" i="12"/>
  <c r="I67" i="12"/>
  <c r="G67" i="12"/>
  <c r="I71" i="12"/>
  <c r="G71" i="12"/>
  <c r="I75" i="12"/>
  <c r="G75" i="12"/>
  <c r="I79" i="12"/>
  <c r="G79" i="12"/>
  <c r="I83" i="12"/>
  <c r="G83" i="12"/>
  <c r="I87" i="12"/>
  <c r="G87" i="12"/>
  <c r="I44" i="12"/>
  <c r="G44" i="12"/>
  <c r="I63" i="12"/>
  <c r="G63" i="12"/>
  <c r="I59" i="12"/>
  <c r="G59" i="12"/>
  <c r="I55" i="12"/>
  <c r="G55" i="12"/>
  <c r="I51" i="12"/>
  <c r="G51" i="12"/>
  <c r="I47" i="12"/>
  <c r="G47" i="12"/>
  <c r="I68" i="12"/>
  <c r="G68" i="12"/>
  <c r="I72" i="12"/>
  <c r="G72" i="12"/>
  <c r="I76" i="12"/>
  <c r="G76" i="12"/>
  <c r="I80" i="12"/>
  <c r="G80" i="12"/>
  <c r="I84" i="12"/>
  <c r="G84" i="12"/>
  <c r="I88" i="12"/>
  <c r="G88" i="12"/>
  <c r="AF93" i="12"/>
  <c r="AF92" i="12"/>
  <c r="AF98" i="12"/>
  <c r="AF91" i="12"/>
  <c r="AF43" i="12"/>
  <c r="AF101" i="12"/>
  <c r="AF39" i="12"/>
  <c r="AF94" i="12"/>
  <c r="AV20" i="16"/>
  <c r="AE20" i="12" s="1"/>
  <c r="AV21" i="16"/>
  <c r="AE21" i="12" s="1"/>
  <c r="AW24" i="16"/>
  <c r="F24" i="19" s="1"/>
  <c r="AW13" i="16"/>
  <c r="AW23" i="16"/>
  <c r="F23" i="19" s="1"/>
  <c r="AW17" i="16"/>
  <c r="F17" i="19" s="1"/>
  <c r="AW19" i="16"/>
  <c r="F19" i="19" s="1"/>
  <c r="AW26" i="16"/>
  <c r="F26" i="19" s="1"/>
  <c r="AW25" i="16"/>
  <c r="F25" i="19" s="1"/>
  <c r="AW16" i="16"/>
  <c r="F16" i="19" s="1"/>
  <c r="AW27" i="16"/>
  <c r="F27" i="19" s="1"/>
  <c r="AW15" i="16"/>
  <c r="F15" i="19" s="1"/>
  <c r="O45" i="16"/>
  <c r="O53" i="16"/>
  <c r="O48" i="16"/>
  <c r="O59" i="16"/>
  <c r="O73" i="16" l="1"/>
  <c r="P73" i="16" s="1"/>
  <c r="O57" i="16"/>
  <c r="O58" i="16"/>
  <c r="P58" i="16" s="1"/>
  <c r="O54" i="16"/>
  <c r="O51" i="16"/>
  <c r="P51" i="16" s="1"/>
  <c r="O74" i="16"/>
  <c r="P74" i="16" s="1"/>
  <c r="AW18" i="16"/>
  <c r="F18" i="19" s="1"/>
  <c r="AE100" i="12"/>
  <c r="O84" i="16"/>
  <c r="P84" i="16" s="1"/>
  <c r="O52" i="16"/>
  <c r="O66" i="16"/>
  <c r="P66" i="16" s="1"/>
  <c r="O85" i="16"/>
  <c r="O46" i="16"/>
  <c r="P46" i="16" s="1"/>
  <c r="AF22" i="12"/>
  <c r="O92" i="16"/>
  <c r="P92" i="16" s="1"/>
  <c r="O90" i="16"/>
  <c r="P90" i="16" s="1"/>
  <c r="O60" i="16"/>
  <c r="P60" i="16" s="1"/>
  <c r="O91" i="16"/>
  <c r="P91" i="16" s="1"/>
  <c r="AF102" i="12"/>
  <c r="O63" i="16"/>
  <c r="P63" i="16" s="1"/>
  <c r="O62" i="16"/>
  <c r="P62" i="16" s="1"/>
  <c r="O61" i="16"/>
  <c r="P61" i="16" s="1"/>
  <c r="O55" i="16"/>
  <c r="P55" i="16" s="1"/>
  <c r="O56" i="16"/>
  <c r="P56" i="16" s="1"/>
  <c r="O65" i="16"/>
  <c r="P65" i="16" s="1"/>
  <c r="AW14" i="16"/>
  <c r="F14" i="19" s="1"/>
  <c r="O82" i="16"/>
  <c r="P82" i="16" s="1"/>
  <c r="O93" i="16"/>
  <c r="P93" i="16" s="1"/>
  <c r="O83" i="16"/>
  <c r="P83" i="16" s="1"/>
  <c r="O76" i="16"/>
  <c r="P76" i="16" s="1"/>
  <c r="O75" i="16"/>
  <c r="P75" i="16" s="1"/>
  <c r="O49" i="16"/>
  <c r="P49" i="16" s="1"/>
  <c r="O50" i="16"/>
  <c r="P50" i="16" s="1"/>
  <c r="I57" i="12"/>
  <c r="F13" i="19"/>
  <c r="AF13" i="12"/>
  <c r="O71" i="16"/>
  <c r="P71" i="16" s="1"/>
  <c r="O88" i="16"/>
  <c r="P88" i="16" s="1"/>
  <c r="O72" i="16"/>
  <c r="P72" i="16" s="1"/>
  <c r="O87" i="16"/>
  <c r="P87" i="16" s="1"/>
  <c r="O70" i="16"/>
  <c r="P70" i="16" s="1"/>
  <c r="O86" i="16"/>
  <c r="P86" i="16" s="1"/>
  <c r="O69" i="16"/>
  <c r="P69" i="16" s="1"/>
  <c r="O89" i="16"/>
  <c r="P89" i="16" s="1"/>
  <c r="O64" i="16"/>
  <c r="P64" i="16" s="1"/>
  <c r="O81" i="16"/>
  <c r="P81" i="16" s="1"/>
  <c r="O67" i="16"/>
  <c r="P67" i="16" s="1"/>
  <c r="O80" i="16"/>
  <c r="P80" i="16" s="1"/>
  <c r="O68" i="16"/>
  <c r="P68" i="16" s="1"/>
  <c r="O79" i="16"/>
  <c r="P79" i="16" s="1"/>
  <c r="O77" i="16"/>
  <c r="P77" i="16" s="1"/>
  <c r="AF25" i="12"/>
  <c r="AF19" i="12"/>
  <c r="AF24" i="12"/>
  <c r="AF41" i="12"/>
  <c r="AF15" i="12"/>
  <c r="AF26" i="12"/>
  <c r="AF17" i="12"/>
  <c r="AF36" i="12"/>
  <c r="AF16" i="12"/>
  <c r="AF27" i="12"/>
  <c r="AF23" i="12"/>
  <c r="AF100" i="12"/>
  <c r="P52" i="16"/>
  <c r="P45" i="16"/>
  <c r="P54" i="16"/>
  <c r="AW21" i="16"/>
  <c r="F21" i="19" s="1"/>
  <c r="P59" i="16"/>
  <c r="P53" i="16"/>
  <c r="AW20" i="16"/>
  <c r="F20" i="19" s="1"/>
  <c r="P57" i="16"/>
  <c r="P85" i="16"/>
  <c r="P48" i="16"/>
  <c r="AF18" i="12" l="1"/>
  <c r="AF14" i="12"/>
  <c r="AF20" i="12"/>
  <c r="AF21" i="12"/>
  <c r="AK65" i="16"/>
  <c r="H63" i="12"/>
  <c r="AK91" i="16"/>
  <c r="H88" i="12"/>
  <c r="AK61" i="16"/>
  <c r="H59" i="12"/>
  <c r="AK89" i="16"/>
  <c r="H86" i="12"/>
  <c r="AK92" i="16"/>
  <c r="H89" i="12"/>
  <c r="AK54" i="16"/>
  <c r="H52" i="12"/>
  <c r="AK67" i="16"/>
  <c r="H65" i="12"/>
  <c r="AK66" i="16"/>
  <c r="H64" i="12"/>
  <c r="AK49" i="16"/>
  <c r="H47" i="12"/>
  <c r="AK84" i="16"/>
  <c r="H81" i="12"/>
  <c r="AK58" i="16"/>
  <c r="H56" i="12"/>
  <c r="AK75" i="16"/>
  <c r="H73" i="12"/>
  <c r="AK53" i="16"/>
  <c r="H51" i="12"/>
  <c r="AK62" i="16"/>
  <c r="H60" i="12"/>
  <c r="AK70" i="16"/>
  <c r="H68" i="12"/>
  <c r="AK88" i="16"/>
  <c r="H85" i="12"/>
  <c r="AK90" i="16"/>
  <c r="H87" i="12"/>
  <c r="AK55" i="16"/>
  <c r="H53" i="12"/>
  <c r="AK45" i="16"/>
  <c r="AR45" i="16" s="1"/>
  <c r="H44" i="12"/>
  <c r="AK81" i="16"/>
  <c r="H78" i="12"/>
  <c r="AK48" i="16"/>
  <c r="H46" i="12"/>
  <c r="AK51" i="16"/>
  <c r="H49" i="12"/>
  <c r="AK50" i="16"/>
  <c r="H48" i="12"/>
  <c r="AK63" i="16"/>
  <c r="H61" i="12"/>
  <c r="AK76" i="16"/>
  <c r="H74" i="12"/>
  <c r="AK68" i="16"/>
  <c r="H66" i="12"/>
  <c r="AK69" i="16"/>
  <c r="H67" i="12"/>
  <c r="AK87" i="16"/>
  <c r="H84" i="12"/>
  <c r="AK59" i="16"/>
  <c r="H57" i="12"/>
  <c r="AK74" i="16"/>
  <c r="H72" i="12"/>
  <c r="AK93" i="16"/>
  <c r="H90" i="12"/>
  <c r="AK79" i="16"/>
  <c r="H76" i="12"/>
  <c r="AK85" i="16"/>
  <c r="H82" i="12"/>
  <c r="AK77" i="16"/>
  <c r="H75" i="12"/>
  <c r="AK72" i="16"/>
  <c r="H70" i="12"/>
  <c r="AK83" i="16"/>
  <c r="H80" i="12"/>
  <c r="AK73" i="16"/>
  <c r="H71" i="12"/>
  <c r="AK82" i="16"/>
  <c r="H79" i="12"/>
  <c r="AK64" i="16"/>
  <c r="H62" i="12"/>
  <c r="AK46" i="16"/>
  <c r="AR46" i="16" s="1"/>
  <c r="H45" i="12"/>
  <c r="AK57" i="16"/>
  <c r="H55" i="12"/>
  <c r="AK80" i="16"/>
  <c r="H77" i="12"/>
  <c r="AK86" i="16"/>
  <c r="H83" i="12"/>
  <c r="AK60" i="16"/>
  <c r="H58" i="12"/>
  <c r="AK71" i="16"/>
  <c r="H69" i="12"/>
  <c r="AK56" i="16"/>
  <c r="H54" i="12"/>
  <c r="AK52" i="16"/>
  <c r="H50" i="12"/>
  <c r="AQ88" i="16"/>
  <c r="Z85" i="12" s="1"/>
  <c r="AN88" i="16"/>
  <c r="X85" i="12" s="1"/>
  <c r="AN75" i="16"/>
  <c r="X73" i="12" s="1"/>
  <c r="AN87" i="16"/>
  <c r="X84" i="12" s="1"/>
  <c r="AN89" i="16"/>
  <c r="X86" i="12" s="1"/>
  <c r="AQ89" i="16"/>
  <c r="Z86" i="12" s="1"/>
  <c r="AQ63" i="16"/>
  <c r="Z61" i="12" s="1"/>
  <c r="AQ59" i="16"/>
  <c r="Z57" i="12" s="1"/>
  <c r="Y78" i="12"/>
  <c r="AN81" i="16"/>
  <c r="X78" i="12" s="1"/>
  <c r="AN66" i="16"/>
  <c r="X64" i="12" s="1"/>
  <c r="Y64" i="12"/>
  <c r="AN49" i="16"/>
  <c r="X47" i="12" s="1"/>
  <c r="AQ66" i="16"/>
  <c r="Z64" i="12" s="1"/>
  <c r="AQ75" i="16"/>
  <c r="Z73" i="12" s="1"/>
  <c r="AN46" i="16"/>
  <c r="X45" i="12" s="1"/>
  <c r="AO46" i="16" l="1"/>
  <c r="AO45" i="16"/>
  <c r="Y86" i="12"/>
  <c r="Y73" i="12"/>
  <c r="Y76" i="12"/>
  <c r="AQ81" i="16"/>
  <c r="Z78" i="12" s="1"/>
  <c r="Y84" i="12"/>
  <c r="Y89" i="12"/>
  <c r="Y82" i="12"/>
  <c r="Y80" i="12"/>
  <c r="AN83" i="16"/>
  <c r="X80" i="12" s="1"/>
  <c r="Y61" i="12"/>
  <c r="AQ87" i="16"/>
  <c r="Z84" i="12" s="1"/>
  <c r="Y85" i="12"/>
  <c r="AQ79" i="16"/>
  <c r="Z76" i="12" s="1"/>
  <c r="AN76" i="16"/>
  <c r="X74" i="12" s="1"/>
  <c r="AN68" i="16"/>
  <c r="X66" i="12" s="1"/>
  <c r="Y60" i="12"/>
  <c r="AN92" i="16"/>
  <c r="X89" i="12" s="1"/>
  <c r="AN53" i="16"/>
  <c r="X51" i="12" s="1"/>
  <c r="AN59" i="16"/>
  <c r="X57" i="12" s="1"/>
  <c r="AQ53" i="16"/>
  <c r="Z51" i="12" s="1"/>
  <c r="AN57" i="16"/>
  <c r="X55" i="12" s="1"/>
  <c r="Y74" i="12"/>
  <c r="AN85" i="16"/>
  <c r="X82" i="12" s="1"/>
  <c r="AQ92" i="16"/>
  <c r="Z89" i="12" s="1"/>
  <c r="AQ76" i="16"/>
  <c r="Z74" i="12" s="1"/>
  <c r="AQ57" i="16"/>
  <c r="Z55" i="12" s="1"/>
  <c r="Y63" i="12"/>
  <c r="AQ48" i="16"/>
  <c r="Z46" i="12" s="1"/>
  <c r="AQ90" i="16"/>
  <c r="Z87" i="12" s="1"/>
  <c r="Y47" i="12"/>
  <c r="AQ85" i="16"/>
  <c r="Z82" i="12" s="1"/>
  <c r="Y71" i="12"/>
  <c r="Y46" i="12"/>
  <c r="AN65" i="16"/>
  <c r="X63" i="12" s="1"/>
  <c r="AQ49" i="16"/>
  <c r="Z47" i="12" s="1"/>
  <c r="AQ65" i="16"/>
  <c r="Z63" i="12" s="1"/>
  <c r="AQ62" i="16"/>
  <c r="Z60" i="12" s="1"/>
  <c r="AQ91" i="16"/>
  <c r="Z88" i="12" s="1"/>
  <c r="AQ82" i="16"/>
  <c r="Z79" i="12" s="1"/>
  <c r="Y88" i="12"/>
  <c r="Y72" i="12"/>
  <c r="AN77" i="16"/>
  <c r="X75" i="12" s="1"/>
  <c r="Y79" i="12"/>
  <c r="AQ68" i="16"/>
  <c r="Z66" i="12" s="1"/>
  <c r="AQ54" i="16"/>
  <c r="Z52" i="12" s="1"/>
  <c r="Y52" i="12"/>
  <c r="AN54" i="16"/>
  <c r="X52" i="12" s="1"/>
  <c r="Y51" i="12"/>
  <c r="Y53" i="12"/>
  <c r="AN63" i="16"/>
  <c r="X61" i="12" s="1"/>
  <c r="AQ73" i="16"/>
  <c r="Z71" i="12" s="1"/>
  <c r="Y87" i="12"/>
  <c r="U50" i="12"/>
  <c r="U90" i="12"/>
  <c r="U44" i="12"/>
  <c r="Y56" i="12"/>
  <c r="AA56" i="12"/>
  <c r="AN56" i="16"/>
  <c r="X54" i="12" s="1"/>
  <c r="U77" i="12"/>
  <c r="U79" i="12"/>
  <c r="U75" i="12"/>
  <c r="AA75" i="12"/>
  <c r="U72" i="12"/>
  <c r="U66" i="12"/>
  <c r="U49" i="12"/>
  <c r="AA49" i="12"/>
  <c r="U53" i="12"/>
  <c r="AA53" i="12"/>
  <c r="U60" i="12"/>
  <c r="U81" i="12"/>
  <c r="U52" i="12"/>
  <c r="AA52" i="12"/>
  <c r="U88" i="12"/>
  <c r="U69" i="12"/>
  <c r="U55" i="12"/>
  <c r="U71" i="12"/>
  <c r="AA71" i="12"/>
  <c r="U82" i="12"/>
  <c r="AA82" i="12"/>
  <c r="U57" i="12"/>
  <c r="U74" i="12"/>
  <c r="AA74" i="12"/>
  <c r="U46" i="12"/>
  <c r="AA46" i="12"/>
  <c r="U87" i="12"/>
  <c r="U89" i="12"/>
  <c r="U63" i="12"/>
  <c r="AA63" i="12"/>
  <c r="U83" i="12"/>
  <c r="U68" i="12"/>
  <c r="AA68" i="12"/>
  <c r="U70" i="12"/>
  <c r="U48" i="12"/>
  <c r="U59" i="12"/>
  <c r="U58" i="12"/>
  <c r="U45" i="12"/>
  <c r="AA45" i="12"/>
  <c r="U80" i="12"/>
  <c r="AA80" i="12"/>
  <c r="U76" i="12"/>
  <c r="AA76" i="12"/>
  <c r="U84" i="12"/>
  <c r="U61" i="12"/>
  <c r="U78" i="12"/>
  <c r="AA78" i="12"/>
  <c r="U85" i="12"/>
  <c r="U73" i="12"/>
  <c r="AA73" i="12"/>
  <c r="U86" i="12"/>
  <c r="U62" i="12"/>
  <c r="U67" i="12"/>
  <c r="U65" i="12"/>
  <c r="AQ83" i="16"/>
  <c r="Z80" i="12" s="1"/>
  <c r="Y75" i="12"/>
  <c r="AN91" i="16"/>
  <c r="X88" i="12" s="1"/>
  <c r="AA79" i="12"/>
  <c r="AN74" i="16"/>
  <c r="X72" i="12" s="1"/>
  <c r="Y66" i="12"/>
  <c r="AN62" i="16"/>
  <c r="X60" i="12" s="1"/>
  <c r="AN80" i="16"/>
  <c r="X77" i="12" s="1"/>
  <c r="AA66" i="12"/>
  <c r="AQ74" i="16"/>
  <c r="Z72" i="12" s="1"/>
  <c r="AN51" i="16"/>
  <c r="X49" i="12" s="1"/>
  <c r="AQ84" i="16"/>
  <c r="Z81" i="12" s="1"/>
  <c r="Y81" i="12"/>
  <c r="Y45" i="12"/>
  <c r="Y57" i="12"/>
  <c r="AA72" i="12"/>
  <c r="AN73" i="16"/>
  <c r="X71" i="12" s="1"/>
  <c r="AN79" i="16"/>
  <c r="X76" i="12" s="1"/>
  <c r="Y49" i="12"/>
  <c r="AN48" i="16"/>
  <c r="X46" i="12" s="1"/>
  <c r="AN55" i="16"/>
  <c r="X53" i="12" s="1"/>
  <c r="AN84" i="16"/>
  <c r="X81" i="12" s="1"/>
  <c r="AN90" i="16"/>
  <c r="X87" i="12" s="1"/>
  <c r="AQ77" i="16"/>
  <c r="Z75" i="12" s="1"/>
  <c r="AQ51" i="16"/>
  <c r="Z49" i="12" s="1"/>
  <c r="AQ55" i="16"/>
  <c r="Z53" i="12" s="1"/>
  <c r="AA81" i="12"/>
  <c r="AN82" i="16"/>
  <c r="X79" i="12" s="1"/>
  <c r="Y55" i="12"/>
  <c r="AQ71" i="16"/>
  <c r="Z69" i="12" s="1"/>
  <c r="AA69" i="12"/>
  <c r="AQ60" i="16"/>
  <c r="Z58" i="12" s="1"/>
  <c r="AQ46" i="16"/>
  <c r="Z45" i="12" s="1"/>
  <c r="Y69" i="12"/>
  <c r="Y44" i="12"/>
  <c r="Y54" i="12"/>
  <c r="AA83" i="12"/>
  <c r="AQ64" i="16"/>
  <c r="Z62" i="12" s="1"/>
  <c r="AN71" i="16"/>
  <c r="X69" i="12" s="1"/>
  <c r="Y58" i="12"/>
  <c r="AA48" i="12"/>
  <c r="AN58" i="16"/>
  <c r="X56" i="12" s="1"/>
  <c r="AA90" i="12"/>
  <c r="AQ58" i="16"/>
  <c r="Z56" i="12" s="1"/>
  <c r="AQ45" i="16"/>
  <c r="Z44" i="12" s="1"/>
  <c r="Y48" i="12"/>
  <c r="AQ86" i="16"/>
  <c r="Z83" i="12" s="1"/>
  <c r="AN45" i="16"/>
  <c r="X44" i="12" s="1"/>
  <c r="AQ67" i="16"/>
  <c r="Z65" i="12" s="1"/>
  <c r="AN72" i="16"/>
  <c r="X70" i="12" s="1"/>
  <c r="AN70" i="16"/>
  <c r="X68" i="12" s="1"/>
  <c r="AQ72" i="16"/>
  <c r="Z70" i="12" s="1"/>
  <c r="Y68" i="12"/>
  <c r="Y67" i="12"/>
  <c r="AN67" i="16"/>
  <c r="X65" i="12" s="1"/>
  <c r="AQ52" i="16"/>
  <c r="Z50" i="12" s="1"/>
  <c r="Y70" i="12"/>
  <c r="AQ70" i="16"/>
  <c r="Z68" i="12" s="1"/>
  <c r="AN60" i="16"/>
  <c r="X58" i="12" s="1"/>
  <c r="AA44" i="12"/>
  <c r="AQ93" i="16"/>
  <c r="Z90" i="12" s="1"/>
  <c r="AN69" i="16"/>
  <c r="X67" i="12" s="1"/>
  <c r="Y50" i="12"/>
  <c r="AA70" i="12"/>
  <c r="Y62" i="12"/>
  <c r="Y65" i="12"/>
  <c r="Y90" i="12"/>
  <c r="AQ69" i="16"/>
  <c r="Z67" i="12" s="1"/>
  <c r="AA65" i="12"/>
  <c r="AN61" i="16"/>
  <c r="X59" i="12" s="1"/>
  <c r="AN93" i="16"/>
  <c r="X90" i="12" s="1"/>
  <c r="AA67" i="12"/>
  <c r="AN50" i="16"/>
  <c r="X48" i="12" s="1"/>
  <c r="AQ61" i="16"/>
  <c r="Z59" i="12" s="1"/>
  <c r="AN52" i="16"/>
  <c r="X50" i="12" s="1"/>
  <c r="Y83" i="12"/>
  <c r="AA55" i="12"/>
  <c r="AN64" i="16"/>
  <c r="X62" i="12" s="1"/>
  <c r="AQ50" i="16"/>
  <c r="Z48" i="12" s="1"/>
  <c r="Y59" i="12"/>
  <c r="AA50" i="12"/>
  <c r="AN86" i="16"/>
  <c r="X83" i="12" s="1"/>
  <c r="Y77" i="12"/>
  <c r="AQ80" i="16"/>
  <c r="Z77" i="12" s="1"/>
  <c r="AA54" i="12"/>
  <c r="U54" i="12"/>
  <c r="U64" i="12"/>
  <c r="AA77" i="12"/>
  <c r="AQ56" i="16"/>
  <c r="AA51" i="12"/>
  <c r="U51" i="12"/>
  <c r="U56" i="12"/>
  <c r="AA47" i="12"/>
  <c r="U47" i="12"/>
  <c r="AV81" i="16"/>
  <c r="AD11" i="16"/>
  <c r="N11" i="12" s="1"/>
  <c r="AD10" i="16"/>
  <c r="AB11" i="16"/>
  <c r="M11" i="12" s="1"/>
  <c r="AB10" i="16"/>
  <c r="Z11" i="16"/>
  <c r="L11" i="12" s="1"/>
  <c r="Z10" i="16"/>
  <c r="X10" i="16"/>
  <c r="V10" i="16"/>
  <c r="N10" i="16"/>
  <c r="K10" i="16"/>
  <c r="AV83" i="16" l="1"/>
  <c r="AW83" i="16" s="1"/>
  <c r="F80" i="19" s="1"/>
  <c r="AV65" i="16"/>
  <c r="AE63" i="12" s="1"/>
  <c r="AV76" i="16"/>
  <c r="AV73" i="16"/>
  <c r="AV54" i="16"/>
  <c r="AW54" i="16" s="1"/>
  <c r="F52" i="19" s="1"/>
  <c r="I99" i="12"/>
  <c r="AV51" i="16"/>
  <c r="AW51" i="16" s="1"/>
  <c r="F49" i="19" s="1"/>
  <c r="AV82" i="16"/>
  <c r="AE79" i="12" s="1"/>
  <c r="AV79" i="16"/>
  <c r="AW79" i="16" s="1"/>
  <c r="F76" i="19" s="1"/>
  <c r="AV74" i="16"/>
  <c r="AW74" i="16" s="1"/>
  <c r="F72" i="19" s="1"/>
  <c r="AV68" i="16"/>
  <c r="AW68" i="16" s="1"/>
  <c r="F66" i="19" s="1"/>
  <c r="AV46" i="16"/>
  <c r="AW46" i="16" s="1"/>
  <c r="F45" i="19" s="1"/>
  <c r="AV77" i="16"/>
  <c r="AW77" i="16" s="1"/>
  <c r="F75" i="19" s="1"/>
  <c r="AV75" i="16"/>
  <c r="AW75" i="16" s="1"/>
  <c r="F73" i="19" s="1"/>
  <c r="AV55" i="16"/>
  <c r="AW55" i="16" s="1"/>
  <c r="F53" i="19" s="1"/>
  <c r="AV71" i="16"/>
  <c r="AW71" i="16" s="1"/>
  <c r="F69" i="19" s="1"/>
  <c r="AV48" i="16"/>
  <c r="AW48" i="16" s="1"/>
  <c r="F46" i="19" s="1"/>
  <c r="AV85" i="16"/>
  <c r="AW85" i="16" s="1"/>
  <c r="F82" i="19" s="1"/>
  <c r="AV84" i="16"/>
  <c r="AW84" i="16" s="1"/>
  <c r="F81" i="19" s="1"/>
  <c r="AV50" i="16"/>
  <c r="AE48" i="12" s="1"/>
  <c r="AV53" i="16"/>
  <c r="AW53" i="16" s="1"/>
  <c r="F51" i="19" s="1"/>
  <c r="AV93" i="16"/>
  <c r="AW93" i="16" s="1"/>
  <c r="F90" i="19" s="1"/>
  <c r="AV45" i="16"/>
  <c r="AW45" i="16" s="1"/>
  <c r="F44" i="19" s="1"/>
  <c r="AV86" i="16"/>
  <c r="AW86" i="16" s="1"/>
  <c r="F83" i="19" s="1"/>
  <c r="AV57" i="16"/>
  <c r="AW57" i="16" s="1"/>
  <c r="F55" i="19" s="1"/>
  <c r="AV58" i="16"/>
  <c r="AE56" i="12" s="1"/>
  <c r="AV52" i="16"/>
  <c r="AE50" i="12" s="1"/>
  <c r="AV70" i="16"/>
  <c r="AW70" i="16" s="1"/>
  <c r="F68" i="19" s="1"/>
  <c r="AV72" i="16"/>
  <c r="AW72" i="16" s="1"/>
  <c r="F70" i="19" s="1"/>
  <c r="M10" i="12"/>
  <c r="AV67" i="16"/>
  <c r="AW67" i="16" s="1"/>
  <c r="F65" i="19" s="1"/>
  <c r="AV69" i="16"/>
  <c r="AW69" i="16" s="1"/>
  <c r="F67" i="19" s="1"/>
  <c r="G10" i="12"/>
  <c r="F10" i="12"/>
  <c r="K10" i="12"/>
  <c r="L10" i="12"/>
  <c r="N10" i="12"/>
  <c r="J10" i="12"/>
  <c r="AV80" i="16"/>
  <c r="AE77" i="12" s="1"/>
  <c r="AV49" i="16"/>
  <c r="AW49" i="16" s="1"/>
  <c r="F47" i="19" s="1"/>
  <c r="AW76" i="16"/>
  <c r="F74" i="19" s="1"/>
  <c r="AE74" i="12"/>
  <c r="AW65" i="16"/>
  <c r="F63" i="19" s="1"/>
  <c r="AW81" i="16"/>
  <c r="F78" i="19" s="1"/>
  <c r="AE78" i="12"/>
  <c r="AE66" i="12"/>
  <c r="AV56" i="16"/>
  <c r="Z54" i="12"/>
  <c r="AW73" i="16"/>
  <c r="F71" i="19" s="1"/>
  <c r="AE71" i="12"/>
  <c r="AE52" i="12"/>
  <c r="O11" i="16"/>
  <c r="P11" i="16" s="1"/>
  <c r="H11" i="12" s="1"/>
  <c r="AE73" i="12" l="1"/>
  <c r="AE80" i="12"/>
  <c r="AE49" i="12"/>
  <c r="AE75" i="12"/>
  <c r="AE76" i="12"/>
  <c r="AE72" i="12"/>
  <c r="AW82" i="16"/>
  <c r="F79" i="19" s="1"/>
  <c r="AE45" i="12"/>
  <c r="AW50" i="16"/>
  <c r="F48" i="19" s="1"/>
  <c r="AE81" i="12"/>
  <c r="AE53" i="12"/>
  <c r="AE69" i="12"/>
  <c r="AE83" i="12"/>
  <c r="AE46" i="12"/>
  <c r="AW58" i="16"/>
  <c r="F56" i="19" s="1"/>
  <c r="AE82" i="12"/>
  <c r="AE44" i="12"/>
  <c r="AE90" i="12"/>
  <c r="AW52" i="16"/>
  <c r="F50" i="19" s="1"/>
  <c r="AE51" i="12"/>
  <c r="AE67" i="12"/>
  <c r="AE70" i="12"/>
  <c r="AE68" i="12"/>
  <c r="AE65" i="12"/>
  <c r="AE55" i="12"/>
  <c r="I10" i="12"/>
  <c r="AE47" i="12"/>
  <c r="AW80" i="16"/>
  <c r="F77" i="19" s="1"/>
  <c r="AF55" i="12"/>
  <c r="AF52" i="12"/>
  <c r="AF53" i="12"/>
  <c r="AW56" i="16"/>
  <c r="F54" i="19" s="1"/>
  <c r="AE54" i="12"/>
  <c r="AF70" i="12"/>
  <c r="AF69" i="12"/>
  <c r="AF75" i="12"/>
  <c r="AF68" i="12"/>
  <c r="AF67" i="12"/>
  <c r="AF72" i="12"/>
  <c r="AF46" i="12"/>
  <c r="AF49" i="12"/>
  <c r="AF81" i="12"/>
  <c r="AF63" i="12"/>
  <c r="AF74" i="12"/>
  <c r="AF47" i="12"/>
  <c r="AF76" i="12"/>
  <c r="AF71" i="12"/>
  <c r="AF65" i="12"/>
  <c r="AF83" i="12"/>
  <c r="AF66" i="12"/>
  <c r="AF45" i="12"/>
  <c r="AF90" i="12"/>
  <c r="AF82" i="12"/>
  <c r="AF51" i="12"/>
  <c r="AF78" i="12"/>
  <c r="AF73" i="12"/>
  <c r="AF44" i="12"/>
  <c r="AF80" i="12"/>
  <c r="O10" i="16"/>
  <c r="AK11" i="16"/>
  <c r="AF79" i="12" l="1"/>
  <c r="P10" i="16"/>
  <c r="U99" i="12" s="1"/>
  <c r="H99" i="12"/>
  <c r="AF48" i="12"/>
  <c r="AF56" i="12"/>
  <c r="AF50" i="12"/>
  <c r="U11" i="12"/>
  <c r="AF77" i="12"/>
  <c r="AF54" i="12"/>
  <c r="AA12" i="12"/>
  <c r="AA34" i="12"/>
  <c r="AA31" i="12"/>
  <c r="AA35" i="12"/>
  <c r="AA30" i="12"/>
  <c r="AA33" i="12"/>
  <c r="AA32" i="12"/>
  <c r="AA11" i="12"/>
  <c r="Y11" i="12"/>
  <c r="AN11" i="16"/>
  <c r="X11" i="12" s="1"/>
  <c r="AQ11" i="16"/>
  <c r="Z11" i="12" s="1"/>
  <c r="AK10" i="16" l="1"/>
  <c r="H10" i="12"/>
  <c r="AA85" i="12"/>
  <c r="AV88" i="16"/>
  <c r="AA64" i="12"/>
  <c r="AV66" i="16"/>
  <c r="AA58" i="12"/>
  <c r="AV60" i="16"/>
  <c r="AA86" i="12"/>
  <c r="AV89" i="16"/>
  <c r="AA88" i="12"/>
  <c r="AV91" i="16"/>
  <c r="AA89" i="12"/>
  <c r="AV92" i="16"/>
  <c r="AA60" i="12"/>
  <c r="AV62" i="16"/>
  <c r="AA62" i="12"/>
  <c r="AV64" i="16"/>
  <c r="AA59" i="12"/>
  <c r="AV61" i="16"/>
  <c r="AA61" i="12"/>
  <c r="AV63" i="16"/>
  <c r="AA87" i="12"/>
  <c r="AV90" i="16"/>
  <c r="AA57" i="12"/>
  <c r="AV59" i="16"/>
  <c r="AA84" i="12"/>
  <c r="AV87" i="16"/>
  <c r="AA37" i="12"/>
  <c r="AV38" i="16"/>
  <c r="AV11" i="16"/>
  <c r="AE11" i="12" s="1"/>
  <c r="AV33" i="16"/>
  <c r="AE32" i="12" s="1"/>
  <c r="AV31" i="16"/>
  <c r="AE31" i="12" s="1"/>
  <c r="AV34" i="16"/>
  <c r="AE33" i="12" s="1"/>
  <c r="AV35" i="16"/>
  <c r="AE34" i="12" s="1"/>
  <c r="AV30" i="16"/>
  <c r="AE30" i="12" s="1"/>
  <c r="AV12" i="16"/>
  <c r="AE12" i="12" s="1"/>
  <c r="AV36" i="16"/>
  <c r="AE35" i="12" s="1"/>
  <c r="AO10" i="16" l="1"/>
  <c r="AR10" i="16"/>
  <c r="AQ10" i="16"/>
  <c r="Z10" i="12" s="1"/>
  <c r="AN10" i="16"/>
  <c r="X10" i="12" s="1"/>
  <c r="AE99" i="12"/>
  <c r="U10" i="12"/>
  <c r="U110" i="12" s="1"/>
  <c r="U132" i="12" s="1"/>
  <c r="AK114" i="16"/>
  <c r="X99" i="12"/>
  <c r="Y99" i="12"/>
  <c r="Z99" i="12"/>
  <c r="AA99" i="12"/>
  <c r="AW90" i="16"/>
  <c r="AE87" i="12"/>
  <c r="AW64" i="16"/>
  <c r="AE62" i="12"/>
  <c r="AW66" i="16"/>
  <c r="AE64" i="12"/>
  <c r="AE86" i="12"/>
  <c r="AW89" i="16"/>
  <c r="AA10" i="12"/>
  <c r="AW38" i="16"/>
  <c r="AE37" i="12"/>
  <c r="AW59" i="16"/>
  <c r="AE57" i="12"/>
  <c r="AW63" i="16"/>
  <c r="AE61" i="12"/>
  <c r="AE59" i="12"/>
  <c r="AW61" i="16"/>
  <c r="AW62" i="16"/>
  <c r="AE60" i="12"/>
  <c r="AW91" i="16"/>
  <c r="AE88" i="12"/>
  <c r="AE58" i="12"/>
  <c r="AW60" i="16"/>
  <c r="AW88" i="16"/>
  <c r="AE85" i="12"/>
  <c r="AE84" i="12"/>
  <c r="AW87" i="16"/>
  <c r="AE89" i="12"/>
  <c r="AW92" i="16"/>
  <c r="AW33" i="16"/>
  <c r="F32" i="19" s="1"/>
  <c r="AW34" i="16"/>
  <c r="F33" i="19" s="1"/>
  <c r="AW36" i="16"/>
  <c r="F35" i="19" s="1"/>
  <c r="AW31" i="16"/>
  <c r="F31" i="19" s="1"/>
  <c r="AW30" i="16"/>
  <c r="F30" i="19" s="1"/>
  <c r="AW12" i="16"/>
  <c r="AW35" i="16"/>
  <c r="F34" i="19" s="1"/>
  <c r="Y10" i="12" l="1"/>
  <c r="AV10" i="16"/>
  <c r="F99" i="19" s="1"/>
  <c r="F57" i="19"/>
  <c r="AF57" i="12"/>
  <c r="F89" i="19"/>
  <c r="AF89" i="12"/>
  <c r="F59" i="19"/>
  <c r="AF59" i="12"/>
  <c r="F85" i="19"/>
  <c r="AF85" i="12"/>
  <c r="F86" i="19"/>
  <c r="AF86" i="12"/>
  <c r="F88" i="19"/>
  <c r="AF88" i="12"/>
  <c r="F62" i="19"/>
  <c r="AF62" i="12"/>
  <c r="F84" i="19"/>
  <c r="AF84" i="12"/>
  <c r="F58" i="19"/>
  <c r="AF58" i="12"/>
  <c r="F60" i="19"/>
  <c r="AF60" i="12"/>
  <c r="F61" i="19"/>
  <c r="AF61" i="12"/>
  <c r="F37" i="19"/>
  <c r="AF37" i="12"/>
  <c r="F64" i="19"/>
  <c r="AF64" i="12"/>
  <c r="F87" i="19"/>
  <c r="AF87" i="12"/>
  <c r="F12" i="19"/>
  <c r="AF12" i="12"/>
  <c r="AF34" i="12"/>
  <c r="AF35" i="12"/>
  <c r="AF33" i="12"/>
  <c r="AF30" i="12"/>
  <c r="AF32" i="12"/>
  <c r="AF31" i="12"/>
  <c r="AW11" i="16"/>
  <c r="AE10" i="12" l="1"/>
  <c r="AF99" i="12"/>
  <c r="F11" i="19"/>
  <c r="AF11" i="12"/>
  <c r="AW10" i="16"/>
  <c r="F10" i="19" l="1"/>
  <c r="AF10" i="12"/>
  <c r="AF110" i="12" s="1"/>
  <c r="AF132" i="12" s="1"/>
  <c r="AW114" i="16"/>
  <c r="F110" i="19" l="1"/>
  <c r="F132" i="19" s="1"/>
  <c r="H132" i="19" s="1"/>
  <c r="H110" i="19" l="1"/>
</calcChain>
</file>

<file path=xl/sharedStrings.xml><?xml version="1.0" encoding="utf-8"?>
<sst xmlns="http://schemas.openxmlformats.org/spreadsheetml/2006/main" count="1605" uniqueCount="566">
  <si>
    <t xml:space="preserve">Emër Mbiemër                                   </t>
  </si>
  <si>
    <t xml:space="preserve">Emërtesa e pozicionit sipas strukturës së miratuar                              </t>
  </si>
  <si>
    <t>Ditë pune (përfshirë dhe ditët e pushimit vjetor)</t>
  </si>
  <si>
    <t xml:space="preserve">Paga e grupit              </t>
  </si>
  <si>
    <t xml:space="preserve">Shtesë page për kualifikim shkencor           </t>
  </si>
  <si>
    <t xml:space="preserve">Shtesë page për natyrë të veçantë pune/kushte pune </t>
  </si>
  <si>
    <t xml:space="preserve">Shtesë page për punë të vështira e të dëmshme  për shëndetin </t>
  </si>
  <si>
    <t>Shtesë page për orët mësimore mbi normën e miratuar me dispozitë</t>
  </si>
  <si>
    <t>PAGA BRUTO MUJORE</t>
  </si>
  <si>
    <t>PAGA NETO MUJORE</t>
  </si>
  <si>
    <t>NETO</t>
  </si>
  <si>
    <t>BRUTO</t>
  </si>
  <si>
    <t>Shtesë page për diferencë në rastet kur paga e muajit/ve paraardhës është llogaritur më pak</t>
  </si>
  <si>
    <t>Sigurimi shëndetësor</t>
  </si>
  <si>
    <t>Tatimi mbi të Ardhurat Personale, në % mbi Pagën Bruto</t>
  </si>
  <si>
    <t>Sigurimi Suplementar</t>
  </si>
  <si>
    <t>Ndalesë page për masë disiplinore sipas legjislacionit në fuqi</t>
  </si>
  <si>
    <t xml:space="preserve">Paga bruto për ditët me raport mjekësor (deri 14 dite) që paguhen nga punëdhënësi                              </t>
  </si>
  <si>
    <t xml:space="preserve">Shpërblimi  </t>
  </si>
  <si>
    <t>Ndalesë page për diferencë në rastet kur paga e muajit/ve paraardhës është llogaritur më shumë</t>
  </si>
  <si>
    <t>Nr. Rendor</t>
  </si>
  <si>
    <t>Ndalesë page për çdemtim ndaj institucioni sipas legjislacionit në fuqi</t>
  </si>
  <si>
    <t>- 1 -</t>
  </si>
  <si>
    <t>- 2 -</t>
  </si>
  <si>
    <t>- 3 -</t>
  </si>
  <si>
    <t>- 4 -</t>
  </si>
  <si>
    <t>- 5 -</t>
  </si>
  <si>
    <t>- 6 -</t>
  </si>
  <si>
    <t>- 7 -</t>
  </si>
  <si>
    <t>- 8 -</t>
  </si>
  <si>
    <t>- 9 -</t>
  </si>
  <si>
    <t>- 10 -</t>
  </si>
  <si>
    <t>- 11 -</t>
  </si>
  <si>
    <t>- 12 -</t>
  </si>
  <si>
    <t>- 13 -</t>
  </si>
  <si>
    <t>- 14 -</t>
  </si>
  <si>
    <t>- 15 -</t>
  </si>
  <si>
    <t>- 16 -</t>
  </si>
  <si>
    <t>- 17 -</t>
  </si>
  <si>
    <t>- 18 -</t>
  </si>
  <si>
    <t>- 19 -</t>
  </si>
  <si>
    <t>- 20 -</t>
  </si>
  <si>
    <t>- 21 -</t>
  </si>
  <si>
    <t>- 22 -</t>
  </si>
  <si>
    <t>- 23 -</t>
  </si>
  <si>
    <t>- 24 -</t>
  </si>
  <si>
    <t>- 25 -</t>
  </si>
  <si>
    <t>- 26 -</t>
  </si>
  <si>
    <t>- 27 -</t>
  </si>
  <si>
    <t>- 28 -</t>
  </si>
  <si>
    <t>- 29 -</t>
  </si>
  <si>
    <t>- 30 -</t>
  </si>
  <si>
    <t xml:space="preserve">Kategoria/Klasa/Funksioni/Grada/Titulli                               </t>
  </si>
  <si>
    <t>Paga bazë për klasë/gradë/Shtesa e pozicionit/Paga fikse për funksion/Paga fikse për titull</t>
  </si>
  <si>
    <t xml:space="preserve">Shtesë për vjetërsi në punë            </t>
  </si>
  <si>
    <t>Shtesë kualifikimi për punonjësit mësimorë të arsimit para-universitar</t>
  </si>
  <si>
    <t>Shtesë page për funksion drejtues/për gradë</t>
  </si>
  <si>
    <t>Shtesë page për turne të dyta të treta</t>
  </si>
  <si>
    <t>Shtesë page për orët jashtë kohës normale të punës</t>
  </si>
  <si>
    <t>Shtesë page për kryerjen e shërbimit të rojës, të gatishmërisë dhe urgjencës</t>
  </si>
  <si>
    <t>Sigurimi i detyrueshëm Shoqëror</t>
  </si>
  <si>
    <t>Shuma e ndalesave</t>
  </si>
  <si>
    <t>Paga bazë për klasë/gradë/shtesë pozicioni/paga fikse për funksion/paga fikse për titull</t>
  </si>
  <si>
    <t>Shtesë kualifikimi për punonjësit mësimorë të arsimit parauniversitar</t>
  </si>
  <si>
    <t>Shtesë page për natyrë të veçantë pune/kushte pune/kushte të veçanta shërbimi</t>
  </si>
  <si>
    <t>Shtesë page për punë të vështira e të dëmshme për shëndetin</t>
  </si>
  <si>
    <t>Shtesë page për funksion drejtues/shtesë për gradë</t>
  </si>
  <si>
    <t>Sigurimi i detyrueshëm shoqëror</t>
  </si>
  <si>
    <t>Sigurimi i detyrueshëm shëndetësor</t>
  </si>
  <si>
    <t xml:space="preserve">Vlera ne përqindje për vjetërsi në punë            </t>
  </si>
  <si>
    <t>s_shendetsor</t>
  </si>
  <si>
    <t>s_shoqeror</t>
  </si>
  <si>
    <t>min_s_shoqeror</t>
  </si>
  <si>
    <t>max_s_shoqeror</t>
  </si>
  <si>
    <t>Ditë me Raport (maksimumi 14 dite! )</t>
  </si>
  <si>
    <t>tatimi_13</t>
  </si>
  <si>
    <t>tatimi_23</t>
  </si>
  <si>
    <t>raport_mjekesor</t>
  </si>
  <si>
    <t xml:space="preserve">Paga Bruto e muajit (per llogaritjen e raportit) </t>
  </si>
  <si>
    <t>Accoun Number</t>
  </si>
  <si>
    <t>Bank</t>
  </si>
  <si>
    <t xml:space="preserve">Vlera e Pages  se Grupit              </t>
  </si>
  <si>
    <t>Vlera e Pages bazë për klasë/gradë/Shtesa e pozicionit/Paga fikse për funksion/Paga fikse për titull</t>
  </si>
  <si>
    <t>Vite Punë gjithsej</t>
  </si>
  <si>
    <t>Mugese pa te drejte Page</t>
  </si>
  <si>
    <t>Vlera e Shtesës se page për kualifikim shkencor</t>
  </si>
  <si>
    <t>Vlera e Shtesës se kualifikimi për punonjësit mësimorë të arsimit para-universitar</t>
  </si>
  <si>
    <t xml:space="preserve">Vlera e Shtesës  se pages për natyrë të veçantë pune/kushte pune </t>
  </si>
  <si>
    <t xml:space="preserve">Vlera e Shtesës  se pages  për punë të vështira e të dëmshme  për shëndetin </t>
  </si>
  <si>
    <t>vlere fikse !</t>
  </si>
  <si>
    <t>Muaji kur ndryshojne vitet e punes !</t>
  </si>
  <si>
    <t>formule !</t>
  </si>
  <si>
    <t>date !</t>
  </si>
  <si>
    <t>Vlera ne perqindje e Sigurimit Suplementar</t>
  </si>
  <si>
    <t>numer !</t>
  </si>
  <si>
    <t xml:space="preserve">Janar </t>
  </si>
  <si>
    <t>Shkurt</t>
  </si>
  <si>
    <t>Mars</t>
  </si>
  <si>
    <t>Prill</t>
  </si>
  <si>
    <t>Maj</t>
  </si>
  <si>
    <t>Qershor</t>
  </si>
  <si>
    <t>Gusht</t>
  </si>
  <si>
    <t>Shator</t>
  </si>
  <si>
    <t>Tetor</t>
  </si>
  <si>
    <t>Korrik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</si>
  <si>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</si>
  <si>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</si>
  <si>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</si>
  <si>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</si>
  <si>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</si>
  <si>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</si>
  <si>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</si>
  <si>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</si>
  <si>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</si>
  <si>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</si>
  <si>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</si>
  <si>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</si>
  <si>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</si>
  <si>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Nentor</t>
  </si>
  <si>
    <t>Dhjetor</t>
  </si>
  <si>
    <t>Funksionaret Politike</t>
  </si>
  <si>
    <t>Presidenti</t>
  </si>
  <si>
    <t>Kryetari Kuvendit</t>
  </si>
  <si>
    <t>raport me 1 !</t>
  </si>
  <si>
    <t>Vlera e Pages bazë për  funksionaret politike !</t>
  </si>
  <si>
    <t xml:space="preserve">Paga e presidentit </t>
  </si>
  <si>
    <t>presidenti</t>
  </si>
  <si>
    <t>Kryeministri</t>
  </si>
  <si>
    <t>A</t>
  </si>
  <si>
    <t>B</t>
  </si>
  <si>
    <t>C</t>
  </si>
  <si>
    <t>D</t>
  </si>
  <si>
    <t>E</t>
  </si>
  <si>
    <t>F</t>
  </si>
  <si>
    <t>JK</t>
  </si>
  <si>
    <t>BANKA RAIFFEISEN sh.a.</t>
  </si>
  <si>
    <t>BANKA TIRANA sh.a.</t>
  </si>
  <si>
    <t>BANKA INTESA SANPAOLO ALBANIA sh.a.</t>
  </si>
  <si>
    <t>BANKA PROCREDIT sh.a.</t>
  </si>
  <si>
    <t>BANKA AMERIKANE E INVESTIMEVE sh.a.</t>
  </si>
  <si>
    <t>BANKA CREDINS sh.a.</t>
  </si>
  <si>
    <t>BANKA UNION sh.a.</t>
  </si>
  <si>
    <t>VETEM KETU PUNOHET</t>
  </si>
  <si>
    <t>Koeficienti e Pages bazë për  funksionaret politike !</t>
  </si>
  <si>
    <t>LISTËPAGESA MUJORE E PAGAVE</t>
  </si>
  <si>
    <t>Institucioni :</t>
  </si>
  <si>
    <t>Emri i plotë i institucionit</t>
  </si>
  <si>
    <t>Periudha :</t>
  </si>
  <si>
    <t>muaji viti</t>
  </si>
  <si>
    <t>Numri:</t>
  </si>
  <si>
    <t>Data:</t>
  </si>
  <si>
    <t>Sigurimi vullnetar</t>
  </si>
  <si>
    <t>Përjashtimi për të verbërit</t>
  </si>
  <si>
    <t>- 31 -</t>
  </si>
  <si>
    <t>- 32 -</t>
  </si>
  <si>
    <t>- 33 -</t>
  </si>
  <si>
    <t>- 34 -</t>
  </si>
  <si>
    <t>Nëpunësi Autorizues</t>
  </si>
  <si>
    <t>Nëpunësi Zbatues</t>
  </si>
  <si>
    <t>( _____Emër Mbiemër_____)</t>
  </si>
  <si>
    <t>firma</t>
  </si>
  <si>
    <t>VULA</t>
  </si>
  <si>
    <t>Ndalesë për kuotizacion sindikate</t>
  </si>
  <si>
    <t>Ndalesë për ekzekutim vendimi gjyqësor të formës së prerë -përmbarimi</t>
  </si>
  <si>
    <t>Numër rendor</t>
  </si>
  <si>
    <t xml:space="preserve">Kategoria / Klasa / Funksioni / Grada                                    </t>
  </si>
  <si>
    <t xml:space="preserve">Shtesë për vjetërsi në punë/ në shërbim </t>
  </si>
  <si>
    <t>Shtesë page për kryerjen e shërbimit të rojës, të gadishmërisë dhe urgjencës</t>
  </si>
  <si>
    <t>Ndalesë page për çdëmtim ndaj institucionit sipas legjislacionit në fuqi</t>
  </si>
  <si>
    <t>Sigurimi                      vullnetar</t>
  </si>
  <si>
    <t>Përjashtimi          për të verbërit</t>
  </si>
  <si>
    <t>Totali për punonjësit e miratuar në organikë</t>
  </si>
  <si>
    <t>Totali i punonjësve me kontratë të përkohshme mbi organikë</t>
  </si>
  <si>
    <t>Totali për të gjithë punonjësit</t>
  </si>
  <si>
    <t>LLOGARITJA E PAGËS</t>
  </si>
  <si>
    <t>Paga Neto</t>
  </si>
  <si>
    <t>Emer_Mbimer_01</t>
  </si>
  <si>
    <t>Emer_Mbimer_02</t>
  </si>
  <si>
    <t>Emer_Mbimer_03</t>
  </si>
  <si>
    <t>Emer_Mbimer_04</t>
  </si>
  <si>
    <t>Emer_Mbimer_05</t>
  </si>
  <si>
    <t>Emer_Mbimer_06</t>
  </si>
  <si>
    <t>Emer_Mbimer_07</t>
  </si>
  <si>
    <t>Emer_Mbimer_08</t>
  </si>
  <si>
    <t>Emer_Mbimer_09</t>
  </si>
  <si>
    <t>Emer_Mbimer_10</t>
  </si>
  <si>
    <t>Emer_Mbimer_11</t>
  </si>
  <si>
    <t>Emer_Mbimer_12</t>
  </si>
  <si>
    <t>Emer_Mbimer_13</t>
  </si>
  <si>
    <t>Emer_Mbimer_14</t>
  </si>
  <si>
    <t>Emer_Mbimer_15</t>
  </si>
  <si>
    <t>Emer_Mbimer_16</t>
  </si>
  <si>
    <t>Emer_Mbimer_17</t>
  </si>
  <si>
    <t>Emer_Mbimer_18</t>
  </si>
  <si>
    <t>Emer_Mbimer_19</t>
  </si>
  <si>
    <t>Emer_Mbimer_20</t>
  </si>
  <si>
    <t>Emer_Mbimer_21</t>
  </si>
  <si>
    <t>Emer_Mbimer_22</t>
  </si>
  <si>
    <t>Emer_Mbimer_23</t>
  </si>
  <si>
    <t>Emer_Mbimer_24</t>
  </si>
  <si>
    <t>Emer_Mbimer_25</t>
  </si>
  <si>
    <t>Emer_Mbimer_26</t>
  </si>
  <si>
    <t>Emer_Mbimer_27</t>
  </si>
  <si>
    <t>Emer_Mbimer_28</t>
  </si>
  <si>
    <t>Emer_Mbimer_29</t>
  </si>
  <si>
    <t>Emer_Mbimer_30</t>
  </si>
  <si>
    <t>Emer_Mbimer_31</t>
  </si>
  <si>
    <t>Emer_Mbimer_32</t>
  </si>
  <si>
    <t>Emer_Mbimer_33</t>
  </si>
  <si>
    <t>Emer_Mbimer_34</t>
  </si>
  <si>
    <t>Emer_Mbimer_35</t>
  </si>
  <si>
    <t>Emer_Mbimer_36</t>
  </si>
  <si>
    <t>Emer_Mbimer_37</t>
  </si>
  <si>
    <t>Emer_Mbimer_38</t>
  </si>
  <si>
    <t>Emer_Mbimer_39</t>
  </si>
  <si>
    <t>Emer_Mbimer_40</t>
  </si>
  <si>
    <t>Emer_Mbimer_41</t>
  </si>
  <si>
    <t>Emer_Mbimer_42</t>
  </si>
  <si>
    <t>Emer_Mbimer_43</t>
  </si>
  <si>
    <t>Emer_Mbimer_44</t>
  </si>
  <si>
    <t>Emer_Mbimer_45</t>
  </si>
  <si>
    <t>Emer_Mbimer_46</t>
  </si>
  <si>
    <t>Emer_Mbimer_47</t>
  </si>
  <si>
    <t>Emer_Mbimer_48</t>
  </si>
  <si>
    <t>Emer_Mbimer_49</t>
  </si>
  <si>
    <t>Emer_Mbimer_50</t>
  </si>
  <si>
    <t>Emer_Mbimer_51</t>
  </si>
  <si>
    <t>Emer_Mbimer_52</t>
  </si>
  <si>
    <t>Emer_Mbimer_53</t>
  </si>
  <si>
    <t>Emer_Mbimer_54</t>
  </si>
  <si>
    <t>Emer_Mbimer_55</t>
  </si>
  <si>
    <t>Emer_Mbimer_56</t>
  </si>
  <si>
    <t>Emer_Mbimer_57</t>
  </si>
  <si>
    <t>Emer_Mbimer_58</t>
  </si>
  <si>
    <t>Emer_Mbimer_59</t>
  </si>
  <si>
    <t>Emer_Mbimer_60</t>
  </si>
  <si>
    <t>Emer_Mbimer_61</t>
  </si>
  <si>
    <t>Emer_Mbimer_62</t>
  </si>
  <si>
    <t>Emer_Mbimer_63</t>
  </si>
  <si>
    <t>Emer_Mbimer_64</t>
  </si>
  <si>
    <t>Emer_Mbimer_65</t>
  </si>
  <si>
    <t>Emer_Mbimer_66</t>
  </si>
  <si>
    <t>Emer_Mbimer_67</t>
  </si>
  <si>
    <t>Emer_Mbimer_68</t>
  </si>
  <si>
    <t>Emer_Mbimer_69</t>
  </si>
  <si>
    <t>Emer_Mbimer_70</t>
  </si>
  <si>
    <t>Emer_Mbimer_71</t>
  </si>
  <si>
    <t>Emer_Mbimer_72</t>
  </si>
  <si>
    <t>Emer_Mbimer_73</t>
  </si>
  <si>
    <t>Emer_Mbimer_74</t>
  </si>
  <si>
    <t>Emer_Mbimer_75</t>
  </si>
  <si>
    <t>Emer_Mbimer_76</t>
  </si>
  <si>
    <t>Emer_Mbimer_77</t>
  </si>
  <si>
    <t>Emer_Mbimer_78</t>
  </si>
  <si>
    <t>Emer_Mbimer_79</t>
  </si>
  <si>
    <t>Emer_Mbimer_80</t>
  </si>
  <si>
    <t>Emer_Mbimer_81</t>
  </si>
  <si>
    <t>Emer_Mbimer_82</t>
  </si>
  <si>
    <t>Emer_Mbimer_83</t>
  </si>
  <si>
    <t>Emer_Mbimer_84</t>
  </si>
  <si>
    <t>Emer_Mbimer_85</t>
  </si>
  <si>
    <t>Emer_Mbimer_86</t>
  </si>
  <si>
    <t>Emer_Mbimer_87</t>
  </si>
  <si>
    <t>Emer_Mbimer_88</t>
  </si>
  <si>
    <t>Emer_Mbimer_89</t>
  </si>
  <si>
    <t>Emer_Mbimer_90</t>
  </si>
  <si>
    <t>Emer_Mbimer_91</t>
  </si>
  <si>
    <t>Emer_Mbimer_92</t>
  </si>
  <si>
    <t>Emer_Mbimer_93</t>
  </si>
  <si>
    <t>Emer_Mbimer_94</t>
  </si>
  <si>
    <t>Emer_Mbimer_95</t>
  </si>
  <si>
    <t>Emer_Mbimer_96</t>
  </si>
  <si>
    <t>Emer_Mbimer_97</t>
  </si>
  <si>
    <t>Emer_Mbimer_98</t>
  </si>
  <si>
    <t>Emer_Mbimer_99</t>
  </si>
  <si>
    <t>Emer_Mbimer_100</t>
  </si>
  <si>
    <t>Emer_Mbimer_101</t>
  </si>
  <si>
    <t>Emer_Mbimer_102</t>
  </si>
  <si>
    <t>Emer_Mbimer_103</t>
  </si>
  <si>
    <t>Emer_Mbimer_104</t>
  </si>
  <si>
    <t>Emer_Mbimer_105</t>
  </si>
  <si>
    <t>Emer_Mbimer_106</t>
  </si>
  <si>
    <t>Emer_Mbimer_107</t>
  </si>
  <si>
    <t>Emer_Mbimer_108</t>
  </si>
  <si>
    <t>Emer_Mbimer_109</t>
  </si>
  <si>
    <t>Emer_Mbimer_110</t>
  </si>
  <si>
    <t>në organikë</t>
  </si>
  <si>
    <t>mbi organikë</t>
  </si>
  <si>
    <t>në organikë / mbi organikë</t>
  </si>
  <si>
    <t>Informacion per Bankat (kujdes)</t>
  </si>
  <si>
    <r>
      <t xml:space="preserve">Përqindja për pagesen e raportit mjekësor </t>
    </r>
    <r>
      <rPr>
        <sz val="14"/>
        <rFont val="Calibri"/>
        <family val="2"/>
        <scheme val="minor"/>
      </rPr>
      <t xml:space="preserve">deri në 14 ditë </t>
    </r>
    <r>
      <rPr>
        <sz val="12"/>
        <color theme="1" tint="0.249977111117893"/>
        <rFont val="Calibri"/>
        <family val="2"/>
        <scheme val="minor"/>
      </rPr>
      <t>(min 80%)</t>
    </r>
  </si>
  <si>
    <r>
      <t xml:space="preserve">Përqindja për Sigurimin </t>
    </r>
    <r>
      <rPr>
        <sz val="14"/>
        <color theme="1"/>
        <rFont val="Calibri"/>
        <family val="2"/>
        <scheme val="minor"/>
      </rPr>
      <t>Shendetesor:</t>
    </r>
  </si>
  <si>
    <r>
      <t>Përqindja për Sigurimin</t>
    </r>
    <r>
      <rPr>
        <sz val="14"/>
        <rFont val="Calibri"/>
        <family val="2"/>
        <scheme val="minor"/>
      </rPr>
      <t xml:space="preserve"> Shoqëror:</t>
    </r>
  </si>
  <si>
    <r>
      <t xml:space="preserve">Sigurimi </t>
    </r>
    <r>
      <rPr>
        <sz val="14"/>
        <rFont val="Calibri"/>
        <family val="2"/>
        <scheme val="minor"/>
      </rPr>
      <t>Shoqëror Pragu Minimal:</t>
    </r>
  </si>
  <si>
    <r>
      <t>Sigurimi</t>
    </r>
    <r>
      <rPr>
        <sz val="14"/>
        <rFont val="Calibri"/>
        <family val="2"/>
        <scheme val="minor"/>
      </rPr>
      <t xml:space="preserve"> Shoqëror Kufiri Maksimal:</t>
    </r>
  </si>
  <si>
    <t>paga_200mije</t>
  </si>
  <si>
    <t>paga_30mije</t>
  </si>
  <si>
    <t>paga_40mije</t>
  </si>
  <si>
    <r>
      <t>Vlera e</t>
    </r>
    <r>
      <rPr>
        <sz val="14"/>
        <rFont val="Calibri"/>
        <family val="2"/>
        <scheme val="minor"/>
      </rPr>
      <t xml:space="preserve"> Pagës Bruto te Patatueshme:</t>
    </r>
  </si>
  <si>
    <r>
      <t>Tatohet me 13% Paga Bruto</t>
    </r>
    <r>
      <rPr>
        <sz val="14"/>
        <rFont val="Calibri"/>
        <family val="2"/>
        <scheme val="minor"/>
      </rPr>
      <t xml:space="preserve"> deri 200,000:</t>
    </r>
  </si>
  <si>
    <r>
      <t xml:space="preserve">Tatimi mbi të Ardhurat </t>
    </r>
    <r>
      <rPr>
        <sz val="14"/>
        <rFont val="Calibri"/>
        <family val="2"/>
        <scheme val="minor"/>
      </rPr>
      <t>mbi 200,000:</t>
    </r>
  </si>
  <si>
    <r>
      <t>Tatohet me 23% Paga Bruto</t>
    </r>
    <r>
      <rPr>
        <sz val="14"/>
        <rFont val="Calibri"/>
        <family val="2"/>
        <scheme val="minor"/>
      </rPr>
      <t xml:space="preserve"> mbi 200,000:</t>
    </r>
  </si>
  <si>
    <r>
      <t xml:space="preserve">Tatimi ne Vlere absolute per pagen bruto </t>
    </r>
    <r>
      <rPr>
        <sz val="14"/>
        <rFont val="Calibri"/>
        <family val="2"/>
        <scheme val="minor"/>
      </rPr>
      <t>mbi 200,000:</t>
    </r>
  </si>
  <si>
    <t>tatimi_fiks_deri200mije</t>
  </si>
  <si>
    <t>VLERA</t>
  </si>
  <si>
    <t>EMERTIMI</t>
  </si>
  <si>
    <t>KOMENT</t>
  </si>
  <si>
    <t>=ROUND(IF((AK10-AL10-AM10)&lt;=40000,0,IF((AK10-AL10-AM10)&lt;=50000,(AK10-AL10-AM10-30000)*0.065,IF((AK10-AL10-AM10)&lt;=200000,(AK10-AL10-AM10-30000)*0.13,(AK10-AL10-AM10-200000)*0.23+22100))),0)</t>
  </si>
  <si>
    <t>Shpjegimi per formulen e llogaritjes per tatimin mbi te ardhurat mujore nga paga</t>
  </si>
  <si>
    <t>Formula per Llogaritjen e Tatimit mbi te ardhurat, duhet vendosur tek kolona - 27- "Tatimi mbi të Ardhurat Personale, në % mbi Pagën Bruto". KUJDES me referencat sipas shpjegimit me siper dhe per te dy rastet 'ne Organike' dhe 'Mbi Organike'</t>
  </si>
  <si>
    <t xml:space="preserve"> </t>
  </si>
  <si>
    <t>INSTRUKSIONE PER REFLEKTIMIN E NDRYSHIMEVE NE FILE EXCEL EKZISTUESE!</t>
  </si>
  <si>
    <t>Sigurimi Shoqëror Pragu Minimal:</t>
  </si>
  <si>
    <t>Sigurimi Shoqëror Kufiri Maksimal:</t>
  </si>
  <si>
    <t>Ndryshimet ne Vlera të Pages bazë për klasë/gradë/Shtesa e pozicionit/Paga fikse për funksion/Paga fikse për titull ne "Skemat e Pagave" jane shenuar me te kuqe!</t>
  </si>
  <si>
    <t>Emer_Mbimer_111</t>
  </si>
  <si>
    <t>Emer_Mbimer_112</t>
  </si>
  <si>
    <t>Emer_Mbimer_113</t>
  </si>
  <si>
    <t>Emer_Mbimer_114</t>
  </si>
  <si>
    <t>Emer_Mbimer_115</t>
  </si>
  <si>
    <t>Emer_Mbimer_116</t>
  </si>
  <si>
    <t>Emer_Mbimer_117</t>
  </si>
  <si>
    <t>Emer_Mbimer_118</t>
  </si>
  <si>
    <t>Emer_Mbimer_119</t>
  </si>
  <si>
    <t>Emer_Mbimer_120</t>
  </si>
  <si>
    <r>
      <t xml:space="preserve">për punonjësit e miratuar </t>
    </r>
    <r>
      <rPr>
        <b/>
        <sz val="18"/>
        <color rgb="FFFF0000"/>
        <rFont val="Calibri Light"/>
        <family val="2"/>
      </rPr>
      <t>në organikë</t>
    </r>
  </si>
  <si>
    <r>
      <t xml:space="preserve">punonjësit me kontratë të përkohshme                             </t>
    </r>
    <r>
      <rPr>
        <b/>
        <sz val="16"/>
        <color rgb="FFFF0000"/>
        <rFont val="Calibri Light"/>
        <family val="2"/>
      </rPr>
      <t>mbi organikë</t>
    </r>
  </si>
  <si>
    <t>BANKA E BASHKUAR E SHQIPËRISË sh.a.</t>
  </si>
  <si>
    <t>BANKA KOMBËTARE TREGTARE sh.a.</t>
  </si>
  <si>
    <t>BANKA OTP ALBANIA sh.a.</t>
  </si>
  <si>
    <t>BANKA E PARË E INVESTIMEVE ALBANIA sh.a.</t>
  </si>
  <si>
    <t>Account Number</t>
  </si>
  <si>
    <t>Banka</t>
  </si>
  <si>
    <t>Sherbimi Civil</t>
  </si>
  <si>
    <t>Informacion per SKEMAT E PAGAVE</t>
  </si>
  <si>
    <t>Punonjes Mbeshtetes ne Administraten Rajonale dhe ne ate Vendore</t>
  </si>
  <si>
    <t xml:space="preserve">Paga Bruto e muajit (per efekt te llogaritjes se raportit) </t>
  </si>
  <si>
    <r>
      <t xml:space="preserve">Ndalesë për ekzekutim vendimi gjyqësor të formës së prerë </t>
    </r>
    <r>
      <rPr>
        <b/>
        <sz val="11"/>
        <color theme="1"/>
        <rFont val="Calibri"/>
        <family val="2"/>
        <scheme val="minor"/>
      </rPr>
      <t>përmbarimi</t>
    </r>
  </si>
  <si>
    <t>Punonjes Mbeshtetes ne Administraten Qendrore dhe ne Prefektura</t>
  </si>
  <si>
    <t>Ditë me Raport (maksimumi 14 dite!)</t>
  </si>
  <si>
    <t>Ndryshuar!</t>
  </si>
  <si>
    <t>Lista e Bankave 2023!</t>
  </si>
  <si>
    <t>Minister</t>
  </si>
  <si>
    <t>Deputet</t>
  </si>
  <si>
    <t>* Punonjes Mbeshtetes ne Administraten Rajonale dhe ne ate Vendore</t>
  </si>
  <si>
    <t>* Punonjes Mbeshtetes ne Administraten Qendrore dhe ne Prefektura</t>
  </si>
  <si>
    <t>Zëvendëskryetari i Kuvendit</t>
  </si>
  <si>
    <t>Zëvendëskryeministri</t>
  </si>
  <si>
    <t>Inspektori i Përgjithshëm i Inspektoratit të Lartë të Deklarimit dhe Kontrollit të Pasurive dhe Konfliktit të Interesave</t>
  </si>
  <si>
    <t xml:space="preserve">Komisioneri për Mbikëqyrjen e Shërbimit Civil </t>
  </si>
  <si>
    <t>Kryetari i Komisionit të Autoritetit të Konkurrencës</t>
  </si>
  <si>
    <t>Kryetari i Autoritetit të Komunikimeve Elektronike dhe Postare</t>
  </si>
  <si>
    <t>Kryetari i Entit Rregullator të Sektorit të Furnizimit me Ujë dhe Largimit e Përpunimit të Ujërave të Ndotura</t>
  </si>
  <si>
    <t>Kryetari i Autoritetit të Mediave Audiovizive</t>
  </si>
  <si>
    <t>Komisioneri për të Drejtën e Informimit dhe Mbrojtjen e të Dhënave Personale</t>
  </si>
  <si>
    <t>Komisioneri për Mbrojtjen nga Diskriminimi</t>
  </si>
  <si>
    <t>Kryetari i Autoritetit për Informimin mbi Dokumentet e ish-Sigurimit të Shtetit</t>
  </si>
  <si>
    <t>Drejtori i Përgjithshëm i Institutit të Statistikave</t>
  </si>
  <si>
    <t>Anëtarët e Komisionit të Konkurrencës</t>
  </si>
  <si>
    <t xml:space="preserve">Anëtarët e Autoritetit të Komunikimeve Elektronike dhe Postare </t>
  </si>
  <si>
    <t xml:space="preserve">Anëtari i Entit Rregullator të Sektorit të Furnizimit me Ujë dhe Largimit e Përpunimit të Ujërave të Ndotura </t>
  </si>
  <si>
    <t>Zëvendëskryetari i Autoritetit të Mediave Audiovizive</t>
  </si>
  <si>
    <t>Anëtarët e Autoritetit për Informimin mbi Dokumentet e ish-Sigurimit të Shtetit</t>
  </si>
  <si>
    <t>G</t>
  </si>
  <si>
    <t>Zëvendësministër.</t>
  </si>
  <si>
    <t>Prefekt.</t>
  </si>
  <si>
    <t>Nënprefekt.</t>
  </si>
  <si>
    <t xml:space="preserve">Sekretar i Presidentit. </t>
  </si>
  <si>
    <t xml:space="preserve">Sekretar i Kryeministrit. </t>
  </si>
  <si>
    <t xml:space="preserve">Sekretar i Kryetarit të Kuvendit. </t>
  </si>
  <si>
    <t xml:space="preserve">Sekretar i Kryetarit të Gjykatës së Lartë. </t>
  </si>
  <si>
    <t>Sekretar i Prokurorit të Përgjithshëm.</t>
  </si>
  <si>
    <t>Sekretar i Zëvendëskryeministrit.</t>
  </si>
  <si>
    <t>Sekretar i Nënkryetarit të Kuvendit.</t>
  </si>
  <si>
    <t xml:space="preserve">Sekretar i Avokatit të Popullit. </t>
  </si>
  <si>
    <t>Këshilltar i Prefektit të qarkut Tiranë.</t>
  </si>
  <si>
    <t xml:space="preserve">Sekretar i ministrit. </t>
  </si>
  <si>
    <t xml:space="preserve">Sekretar në zyrën e  Avokatit të Popullit. </t>
  </si>
  <si>
    <t xml:space="preserve">Sekretar i titullarëve të institucioneve të tjera të pavarura, të përmendura në shkronjën “a”, të pikës 1, të kreut I, të këtij vendimi. </t>
  </si>
  <si>
    <t xml:space="preserve">Sekretar në Kryeministri. </t>
  </si>
  <si>
    <t xml:space="preserve">Sekretar në aparatet e ministrive të linjës dhe institucionet e pavarura, të përmendura në shkronjën “a”, të pikës 1, të kreut I, të këtij vendimi. </t>
  </si>
  <si>
    <t xml:space="preserve">Sekretar i organit kolegjial drejtues. </t>
  </si>
  <si>
    <t>Zëdhënës i Prefektit të qarkut Tiranë.</t>
  </si>
  <si>
    <t>I-1</t>
  </si>
  <si>
    <t>I-2</t>
  </si>
  <si>
    <t>I-3</t>
  </si>
  <si>
    <t>I-4</t>
  </si>
  <si>
    <t>I-5</t>
  </si>
  <si>
    <t>II-1</t>
  </si>
  <si>
    <t>II-2</t>
  </si>
  <si>
    <t>III-1</t>
  </si>
  <si>
    <t>III-2</t>
  </si>
  <si>
    <t>III-3</t>
  </si>
  <si>
    <t>IV-1</t>
  </si>
  <si>
    <t>IV-2</t>
  </si>
  <si>
    <t>IV-3</t>
  </si>
  <si>
    <t>IV-4</t>
  </si>
  <si>
    <t xml:space="preserve">Klasa/Kategoria/Funksioni/Grada/Titulli                               </t>
  </si>
  <si>
    <t>Nepunes_Civil_Kategoria_I</t>
  </si>
  <si>
    <t>Nepunes_Civil_Kategoria_II</t>
  </si>
  <si>
    <t>Nepunes_Civil_Kategoria_III</t>
  </si>
  <si>
    <t>Nepunes_Civil_Kategoria_IV</t>
  </si>
  <si>
    <t xml:space="preserve">Drejtor i kabinetit të Presidentit. </t>
  </si>
  <si>
    <t xml:space="preserve">Drejtor i kabinetit të Kryeministrit. </t>
  </si>
  <si>
    <t xml:space="preserve">Drejtor i kabinetit të Kryetarit të Kuvendit. </t>
  </si>
  <si>
    <t xml:space="preserve">Drejtor i Kabinetit të Prokurorit të Përgjithshëm. </t>
  </si>
  <si>
    <t xml:space="preserve">Drejtor i kabinetit të Kryetarit të Gjykatës së Lartë.  </t>
  </si>
  <si>
    <t xml:space="preserve">Këshilltar i Presidentit. </t>
  </si>
  <si>
    <t xml:space="preserve">Këshilltar i Kryeministrit. </t>
  </si>
  <si>
    <t xml:space="preserve">Këshilltar i Kryetarit të Kuvendit. </t>
  </si>
  <si>
    <t xml:space="preserve">Këshilltar për protokollin i Kryeministrit. </t>
  </si>
  <si>
    <t xml:space="preserve">Këshilltar për protokollin i Presidentit. </t>
  </si>
  <si>
    <t xml:space="preserve">Zëdhënës i Presidentit. </t>
  </si>
  <si>
    <t xml:space="preserve">Drejtor i kabinetit të Zëvendëskryeministrit. </t>
  </si>
  <si>
    <t xml:space="preserve">Drejtor i kabinetit të Avokatit të Popullit. </t>
  </si>
  <si>
    <t xml:space="preserve">Drejtor i kabinetit të Kryetarit të Komisionit Qendror të Zgjedhjeve.  </t>
  </si>
  <si>
    <t xml:space="preserve">Këshilltar i Prokurorit të Përgjithshëm. </t>
  </si>
  <si>
    <t xml:space="preserve">Këshilltar i Kryetarit të Gjykatës së Lartë. </t>
  </si>
  <si>
    <t xml:space="preserve">Këshilltar i Avokatit të Popullit. </t>
  </si>
  <si>
    <t xml:space="preserve">Këshilltar i Kryetarit të Komisionit Qendror të Zgjedhjeve. </t>
  </si>
  <si>
    <t xml:space="preserve">Ndihmës i Presidentit. </t>
  </si>
  <si>
    <t xml:space="preserve">Ndihmës i Kryeministrit. </t>
  </si>
  <si>
    <t xml:space="preserve">Ndihmës i Kryetarit të Kuvendit. </t>
  </si>
  <si>
    <t xml:space="preserve">Këshilltar i Zëvendëskryeministrit. </t>
  </si>
  <si>
    <t>Analist në kabinetin e Kryeministrit.</t>
  </si>
  <si>
    <t xml:space="preserve">Ndihmës i Zëvendëskryeministrit. </t>
  </si>
  <si>
    <t xml:space="preserve">Ndihmës i Nënkryetarit të Kuvendit. </t>
  </si>
  <si>
    <t xml:space="preserve">Drejtor i kabinetit të ministrit. </t>
  </si>
  <si>
    <t xml:space="preserve">Drejtorë të kabineteve të titullarëve të institucioneve të tjera të pavarura të përmendura në shkronjën “a”, të pikës 1, të kreut I, të këtij vendimi. </t>
  </si>
  <si>
    <t xml:space="preserve">Këshilltar i ministrit. </t>
  </si>
  <si>
    <t>Këshilltar i titullarëve të institucioneve të tjera të pavarura të përmendura në shkronjën “a”, të pikës 1, të kreut I, të këtij vendimi.</t>
  </si>
  <si>
    <t>Zëdhënës i titullarëve të institucioneve të pavarura të përmendura në shkronjën “a”, të pikës 1, të kreut I, të këtij vendimi..</t>
  </si>
  <si>
    <t>Funksionare te kabineteve (me klasa)</t>
  </si>
  <si>
    <t>Funksionare politike, kabineteve dhe te tjere (jashte klase)</t>
  </si>
  <si>
    <t>(0.85 e pagës së ministrit)</t>
  </si>
  <si>
    <t>nuk ndryshon me per efekt vjetersie!</t>
  </si>
  <si>
    <t>+1%</t>
  </si>
  <si>
    <t>pa plotesuar vitin e pare te punes nuk ka shtese!</t>
  </si>
  <si>
    <t>gjithsej me gjithe vjetersine</t>
  </si>
  <si>
    <t xml:space="preserve">shtesa per vjetersine </t>
  </si>
  <si>
    <r>
      <t xml:space="preserve">prove me vlere </t>
    </r>
    <r>
      <rPr>
        <b/>
        <sz val="11"/>
        <color rgb="FF3333FF"/>
        <rFont val="Calibri"/>
        <family val="2"/>
        <scheme val="minor"/>
      </rPr>
      <t>10,000</t>
    </r>
    <r>
      <rPr>
        <b/>
        <sz val="10"/>
        <color rgb="FF3333FF"/>
        <rFont val="Calibri"/>
        <family val="2"/>
        <scheme val="minor"/>
      </rPr>
      <t xml:space="preserve"> leke</t>
    </r>
  </si>
  <si>
    <t>Formula</t>
  </si>
  <si>
    <t>Vjetersia e punonjesit ne Vite!</t>
  </si>
  <si>
    <t>gjithsej</t>
  </si>
  <si>
    <t>vjetore</t>
  </si>
  <si>
    <t>rritja</t>
  </si>
  <si>
    <t>komentet</t>
  </si>
  <si>
    <r>
      <rPr>
        <sz val="20"/>
        <color theme="0"/>
        <rFont val="Calibri"/>
        <family val="2"/>
        <scheme val="minor"/>
      </rPr>
      <t xml:space="preserve">Llogaritja e shtesës per vjetërsinë                                      </t>
    </r>
    <r>
      <rPr>
        <sz val="24"/>
        <color theme="0"/>
        <rFont val="Calibri"/>
        <family val="2"/>
        <scheme val="minor"/>
      </rPr>
      <t xml:space="preserve">                       </t>
    </r>
  </si>
  <si>
    <t>(e vlefshme për skemen e pagës për nepunes civile dhe te tjere per te cilet vjetersia llogaritet me te njejeten skeme)</t>
  </si>
  <si>
    <t>Punonjes Mbeshtetes I</t>
  </si>
  <si>
    <t>Punonjes Mbeshtetes II</t>
  </si>
  <si>
    <t>Punonjes Mbeshtetes III</t>
  </si>
  <si>
    <t>Punonjes Mbeshtetes IV</t>
  </si>
  <si>
    <t>Punonjes Mbeshtetes V</t>
  </si>
  <si>
    <t>Punonjes Mbeshtetes VI</t>
  </si>
  <si>
    <t>Punonjes Mbeshtetes VII</t>
  </si>
  <si>
    <t>Punonjes Mbeshtetes VIII</t>
  </si>
  <si>
    <t>Punonjes Mbeshtetes IX</t>
  </si>
  <si>
    <t>Punonjes Mbeshtetes X</t>
  </si>
  <si>
    <t>Punonjes Mbeshtetes XI</t>
  </si>
  <si>
    <t>Punonjes Mbeshtetes XII</t>
  </si>
  <si>
    <t>Punonjes Mbeshtetes XIII</t>
  </si>
  <si>
    <t>FUNKSIONARET POLITIKE</t>
  </si>
  <si>
    <t>SHERBIMI CIVIL</t>
  </si>
  <si>
    <t>FUNKSIONARE TE KABINETEVE (ME KLASA)</t>
  </si>
  <si>
    <t>FUNKSIONARE POLITIKE, KABINETEVE DHE TE TJERE (JASHTE KLASE)</t>
  </si>
  <si>
    <t>PUNONJES MBESHTETES NE ADMINISTRATEN QENDRORE DHE NE PREFEKTURA</t>
  </si>
  <si>
    <t>nuk aplikohet!</t>
  </si>
  <si>
    <t>ndryshuar referanca te paga baze!</t>
  </si>
  <si>
    <t>Ndryshimet në Vlera të Pages bazë për klasë/gradë/Shtesa e pozicionit/Paga fikse për funksion/Paga fikse për titull ne "Skemat e Pagave" jane shenuar me te kuqe!</t>
  </si>
  <si>
    <t>fromula e shkallezuar!</t>
  </si>
  <si>
    <t>* NËPUNËS TË SHËRBIMIT CIVIL</t>
  </si>
  <si>
    <t>* FUNKSIONARËT POLITIKE</t>
  </si>
  <si>
    <t>* KUJDES nuk aplikohet vjetersia dhe shtesa te tjera!</t>
  </si>
  <si>
    <t>* aplikohet shtesa per vjetersi sipas fomules se shkallezuar!</t>
  </si>
  <si>
    <t>* KUJDES Nuk ndryshojne pagat per punonjesit mbeshtetes ne Administraten Qendrore dhe ne Prefektura dhe  Administraten Rajonale dhe ne ate Vendore! (ndryshuar ne Prill 2023)</t>
  </si>
  <si>
    <t xml:space="preserve">Mbetet e njejte formula per Shtesen per vjetërsinë per punonjesit mbeshtetes ne Administraten Qendrore dhe ne Prefektura dhe  Administraten Rajonale dhe ne ate Vendore! </t>
  </si>
  <si>
    <t>=IF(VitePunë&lt;=25,VitePunë*1%,25%)</t>
  </si>
  <si>
    <t>formula me vlere fikse 1% !</t>
  </si>
  <si>
    <t>kujdes pozicionin!</t>
  </si>
  <si>
    <t>aplikohet pjeserisht!</t>
  </si>
  <si>
    <t>fillon me 0.6%</t>
  </si>
  <si>
    <t>shtohet me +0.6% cdo vit</t>
  </si>
  <si>
    <t xml:space="preserve">perfundon ne vitin e 10  shtesa +0.6% </t>
  </si>
  <si>
    <t>pas 10 vitesh fillon te shtohet me +0.8%</t>
  </si>
  <si>
    <t xml:space="preserve">vazhdon me +0.8% per cdo vit </t>
  </si>
  <si>
    <t>perfundon ne vitin e 20 shtesa me 0.8%</t>
  </si>
  <si>
    <t>pas 20 vitesh fillon shtohet  me 1%</t>
  </si>
  <si>
    <t>vazhdon me +1% per cdo vit</t>
  </si>
  <si>
    <t>perfundon vitin e 30 shtesa per vjetersi gjithsej 24%</t>
  </si>
  <si>
    <t>+0.6%</t>
  </si>
  <si>
    <t>+0.8%</t>
  </si>
  <si>
    <t>=IF(VitePunë&lt;=10,VitePunë*0.6%,IF(VitePunë&lt;=20,6%+(VitePunë-10)*0.8%,IF(VitePunë&lt;=30,14%+(VitePunë-20)*1%,24%)))</t>
  </si>
  <si>
    <t>*** Pavarësisht kategorive të pagave në organikat ekzistuese, deri në miratimin e strukturave dhe organikave të reja  ***</t>
  </si>
  <si>
    <r>
      <t>=ROUND( IF((Paga Bruto Mujore</t>
    </r>
    <r>
      <rPr>
        <b/>
        <sz val="12"/>
        <color theme="1" tint="0.499984740745262"/>
        <rFont val="Arial"/>
        <family val="2"/>
      </rPr>
      <t xml:space="preserve"> - </t>
    </r>
    <r>
      <rPr>
        <sz val="12"/>
        <color theme="1" tint="0.499984740745262"/>
        <rFont val="Arial"/>
        <family val="2"/>
      </rPr>
      <t>Sigurimi vullnetar</t>
    </r>
    <r>
      <rPr>
        <b/>
        <sz val="12"/>
        <color theme="1" tint="0.499984740745262"/>
        <rFont val="Arial"/>
        <family val="2"/>
      </rPr>
      <t xml:space="preserve"> - </t>
    </r>
    <r>
      <rPr>
        <sz val="12"/>
        <color theme="1" tint="0.499984740745262"/>
        <rFont val="Arial"/>
        <family val="2"/>
      </rPr>
      <t xml:space="preserve">Përjashtimi për të verbërit) </t>
    </r>
    <r>
      <rPr>
        <b/>
        <sz val="12"/>
        <color theme="1" tint="0.499984740745262"/>
        <rFont val="Arial"/>
        <family val="2"/>
      </rPr>
      <t xml:space="preserve">&lt;= </t>
    </r>
    <r>
      <rPr>
        <sz val="12"/>
        <color theme="1" tint="0.499984740745262"/>
        <rFont val="Arial"/>
        <family val="2"/>
      </rPr>
      <t>40 mije leke,tatimi 0 leke, IF((Paga Bruto Mujore</t>
    </r>
    <r>
      <rPr>
        <b/>
        <sz val="12"/>
        <color theme="1" tint="0.499984740745262"/>
        <rFont val="Arial"/>
        <family val="2"/>
      </rPr>
      <t xml:space="preserve"> - </t>
    </r>
    <r>
      <rPr>
        <sz val="12"/>
        <color theme="1" tint="0.499984740745262"/>
        <rFont val="Arial"/>
        <family val="2"/>
      </rPr>
      <t>Sigurimi vullnetar</t>
    </r>
    <r>
      <rPr>
        <b/>
        <sz val="12"/>
        <color theme="1" tint="0.499984740745262"/>
        <rFont val="Arial"/>
        <family val="2"/>
      </rPr>
      <t xml:space="preserve"> - </t>
    </r>
    <r>
      <rPr>
        <sz val="12"/>
        <color theme="1" tint="0.499984740745262"/>
        <rFont val="Arial"/>
        <family val="2"/>
      </rPr>
      <t xml:space="preserve">Përjashtimi për të verbërit) </t>
    </r>
    <r>
      <rPr>
        <b/>
        <sz val="12"/>
        <color theme="1" tint="0.499984740745262"/>
        <rFont val="Arial"/>
        <family val="2"/>
      </rPr>
      <t xml:space="preserve">&lt;= </t>
    </r>
    <r>
      <rPr>
        <sz val="12"/>
        <color theme="1" tint="0.499984740745262"/>
        <rFont val="Arial"/>
        <family val="2"/>
      </rPr>
      <t xml:space="preserve">50 mije leke,(Paga Bruto Mujore </t>
    </r>
    <r>
      <rPr>
        <b/>
        <sz val="12"/>
        <color theme="1" tint="0.499984740745262"/>
        <rFont val="Arial"/>
        <family val="2"/>
      </rPr>
      <t xml:space="preserve">- </t>
    </r>
    <r>
      <rPr>
        <sz val="12"/>
        <color theme="1" tint="0.499984740745262"/>
        <rFont val="Arial"/>
        <family val="2"/>
      </rPr>
      <t>Sigurimi vullnetar</t>
    </r>
    <r>
      <rPr>
        <b/>
        <sz val="12"/>
        <color theme="1" tint="0.499984740745262"/>
        <rFont val="Arial"/>
        <family val="2"/>
      </rPr>
      <t xml:space="preserve"> -</t>
    </r>
    <r>
      <rPr>
        <sz val="12"/>
        <color theme="1" tint="0.499984740745262"/>
        <rFont val="Arial"/>
        <family val="2"/>
      </rPr>
      <t xml:space="preserve"> Përjashtimi për të verbërit </t>
    </r>
    <r>
      <rPr>
        <b/>
        <sz val="12"/>
        <color theme="1" tint="0.499984740745262"/>
        <rFont val="Arial"/>
        <family val="2"/>
      </rPr>
      <t xml:space="preserve">- </t>
    </r>
    <r>
      <rPr>
        <sz val="12"/>
        <color theme="1" tint="0.499984740745262"/>
        <rFont val="Arial"/>
        <family val="2"/>
      </rPr>
      <t xml:space="preserve">30 mije leke) </t>
    </r>
    <r>
      <rPr>
        <b/>
        <sz val="12"/>
        <color theme="1" tint="0.499984740745262"/>
        <rFont val="Arial"/>
        <family val="2"/>
      </rPr>
      <t xml:space="preserve">x </t>
    </r>
    <r>
      <rPr>
        <sz val="12"/>
        <color theme="1" tint="0.499984740745262"/>
        <rFont val="Arial"/>
        <family val="2"/>
      </rPr>
      <t>tatimi 6.5 %, IF((Paga Bruto Mujore - Sigurimi vullnetar - Përjashtimi për të verbërit)</t>
    </r>
    <r>
      <rPr>
        <b/>
        <sz val="12"/>
        <color theme="1" tint="0.499984740745262"/>
        <rFont val="Arial"/>
        <family val="2"/>
      </rPr>
      <t xml:space="preserve"> &lt;=</t>
    </r>
    <r>
      <rPr>
        <sz val="12"/>
        <color theme="1" tint="0.499984740745262"/>
        <rFont val="Arial"/>
        <family val="2"/>
      </rPr>
      <t xml:space="preserve"> 200 mije leke,(Paga Bruto Mujore</t>
    </r>
    <r>
      <rPr>
        <b/>
        <sz val="12"/>
        <color theme="1" tint="0.499984740745262"/>
        <rFont val="Arial"/>
        <family val="2"/>
      </rPr>
      <t xml:space="preserve"> -</t>
    </r>
    <r>
      <rPr>
        <sz val="12"/>
        <color theme="1" tint="0.499984740745262"/>
        <rFont val="Arial"/>
        <family val="2"/>
      </rPr>
      <t xml:space="preserve"> Sigurimi vullnetar</t>
    </r>
    <r>
      <rPr>
        <b/>
        <sz val="12"/>
        <color theme="1" tint="0.499984740745262"/>
        <rFont val="Arial"/>
        <family val="2"/>
      </rPr>
      <t xml:space="preserve"> -</t>
    </r>
    <r>
      <rPr>
        <sz val="12"/>
        <color theme="1" tint="0.499984740745262"/>
        <rFont val="Arial"/>
        <family val="2"/>
      </rPr>
      <t xml:space="preserve"> Përjashtimi për të verbërit </t>
    </r>
    <r>
      <rPr>
        <b/>
        <sz val="12"/>
        <color theme="1" tint="0.499984740745262"/>
        <rFont val="Arial"/>
        <family val="2"/>
      </rPr>
      <t xml:space="preserve">- </t>
    </r>
    <r>
      <rPr>
        <sz val="12"/>
        <color theme="1" tint="0.499984740745262"/>
        <rFont val="Arial"/>
        <family val="2"/>
      </rPr>
      <t>30 mije leke)</t>
    </r>
    <r>
      <rPr>
        <b/>
        <sz val="12"/>
        <color theme="1" tint="0.499984740745262"/>
        <rFont val="Arial"/>
        <family val="2"/>
      </rPr>
      <t xml:space="preserve"> x </t>
    </r>
    <r>
      <rPr>
        <sz val="12"/>
        <color theme="1" tint="0.499984740745262"/>
        <rFont val="Arial"/>
        <family val="2"/>
      </rPr>
      <t>tatimi 13%,(Paga Bruto Mujore</t>
    </r>
    <r>
      <rPr>
        <b/>
        <sz val="12"/>
        <color theme="1" tint="0.499984740745262"/>
        <rFont val="Arial"/>
        <family val="2"/>
      </rPr>
      <t xml:space="preserve"> - </t>
    </r>
    <r>
      <rPr>
        <sz val="12"/>
        <color theme="1" tint="0.499984740745262"/>
        <rFont val="Arial"/>
        <family val="2"/>
      </rPr>
      <t xml:space="preserve">Sigurimi vullnetar </t>
    </r>
    <r>
      <rPr>
        <b/>
        <sz val="12"/>
        <color theme="1" tint="0.499984740745262"/>
        <rFont val="Arial"/>
        <family val="2"/>
      </rPr>
      <t xml:space="preserve">- </t>
    </r>
    <r>
      <rPr>
        <sz val="12"/>
        <color theme="1" tint="0.499984740745262"/>
        <rFont val="Arial"/>
        <family val="2"/>
      </rPr>
      <t xml:space="preserve">Përjashtimi për të verbërit </t>
    </r>
    <r>
      <rPr>
        <b/>
        <sz val="12"/>
        <color theme="1" tint="0.499984740745262"/>
        <rFont val="Arial"/>
        <family val="2"/>
      </rPr>
      <t xml:space="preserve">- </t>
    </r>
    <r>
      <rPr>
        <sz val="12"/>
        <color theme="1" tint="0.499984740745262"/>
        <rFont val="Arial"/>
        <family val="2"/>
      </rPr>
      <t xml:space="preserve">200 mije leke) </t>
    </r>
    <r>
      <rPr>
        <b/>
        <sz val="12"/>
        <color theme="1" tint="0.499984740745262"/>
        <rFont val="Arial"/>
        <family val="2"/>
      </rPr>
      <t>x</t>
    </r>
    <r>
      <rPr>
        <sz val="12"/>
        <color theme="1" tint="0.499984740745262"/>
        <rFont val="Arial"/>
        <family val="2"/>
      </rPr>
      <t xml:space="preserve"> tatimi 23% </t>
    </r>
    <r>
      <rPr>
        <b/>
        <sz val="12"/>
        <color theme="1" tint="0.499984740745262"/>
        <rFont val="Arial"/>
        <family val="2"/>
      </rPr>
      <t>+</t>
    </r>
    <r>
      <rPr>
        <sz val="12"/>
        <color theme="1" tint="0.499984740745262"/>
        <rFont val="Arial"/>
        <family val="2"/>
      </rPr>
      <t xml:space="preserve"> tatimi fiks 22100 leke))),0)</t>
    </r>
  </si>
  <si>
    <r>
      <rPr>
        <sz val="14"/>
        <color theme="1" tint="0.499984740745262"/>
        <rFont val="Arial"/>
        <family val="2"/>
      </rPr>
      <t xml:space="preserve">40,000 </t>
    </r>
    <r>
      <rPr>
        <i/>
        <sz val="11"/>
        <color theme="1" tint="0.499984740745262"/>
        <rFont val="Arial"/>
        <family val="2"/>
      </rPr>
      <t>(ishte 34,000) … min_s_shoqeror</t>
    </r>
  </si>
  <si>
    <r>
      <rPr>
        <sz val="14"/>
        <color theme="1" tint="0.499984740745262"/>
        <rFont val="Arial"/>
        <family val="2"/>
      </rPr>
      <t>176,421</t>
    </r>
    <r>
      <rPr>
        <i/>
        <sz val="11"/>
        <color theme="1" tint="0.499984740745262"/>
        <rFont val="Arial"/>
        <family val="2"/>
      </rPr>
      <t xml:space="preserve"> (ishte 149,954) … max_s_shoqeror</t>
    </r>
  </si>
  <si>
    <t>Vlera e Pages bazë për klasë/gradë/pozicion/Paga fikse për funksion/Paga fikse për titull</t>
  </si>
  <si>
    <t>Paga bazë për klasë/gradë/pozicion/Paga fikse për funksion/Paga fikse për titull</t>
  </si>
  <si>
    <t xml:space="preserve">Vlera e shtesës së nivelit të kualifikimit              </t>
  </si>
  <si>
    <t xml:space="preserve">Niveli i kualifikimit              </t>
  </si>
  <si>
    <t xml:space="preserve">Vlera ne përqindje e shtesës për vjetërsi në punë. (e ndryshme sipas sistemeve)            </t>
  </si>
  <si>
    <t>HIQE KETE Vlera e Shtesës se page për kualifikim shkencor</t>
  </si>
  <si>
    <t>12000 ose 14000</t>
  </si>
  <si>
    <t>10000 ose 12000 ose 14000</t>
  </si>
  <si>
    <t>fromula e shkallezuar!/Ose JO per punonjesit mbeshtetes</t>
  </si>
  <si>
    <t>Tabelat lidhur me ndryshimin e tatimit mbi të ardhurat personale nga punësimi</t>
  </si>
  <si>
    <t>PËR TATIMIN MBI TË ARDHURAT (ekzistues)</t>
  </si>
  <si>
    <t>PËR TATIMIN MBI TË ARDHURAT I NDRYSHUAR !</t>
  </si>
  <si>
    <t>E ardhura nga paga                                            në lekë/muaj</t>
  </si>
  <si>
    <t>E ardhura e tatueshme                                         në lekë/muaj</t>
  </si>
  <si>
    <t>Norma tatimore                                              në përqindje/mujore</t>
  </si>
  <si>
    <t>Nga</t>
  </si>
  <si>
    <t>Deri në</t>
  </si>
  <si>
    <t>40 000</t>
  </si>
  <si>
    <t>50 000</t>
  </si>
  <si>
    <t>40 001</t>
  </si>
  <si>
    <t>30 000</t>
  </si>
  <si>
    <t>50 001</t>
  </si>
  <si>
    <t>60 000</t>
  </si>
  <si>
    <t>35 000</t>
  </si>
  <si>
    <t>30 001</t>
  </si>
  <si>
    <r>
      <rPr>
        <sz val="14"/>
        <color theme="9" tint="-0.249977111117893"/>
        <rFont val="Calibri"/>
        <family val="2"/>
        <scheme val="minor"/>
      </rPr>
      <t>50% *13%</t>
    </r>
    <r>
      <rPr>
        <sz val="11"/>
        <color theme="1" tint="0.249977111117893"/>
        <rFont val="Calibri"/>
        <family val="2"/>
        <scheme val="minor"/>
      </rPr>
      <t xml:space="preserve"> të shumës                                    mbi </t>
    </r>
    <r>
      <rPr>
        <b/>
        <sz val="11"/>
        <color theme="1" tint="0.249977111117893"/>
        <rFont val="Calibri"/>
        <family val="2"/>
        <scheme val="minor"/>
      </rPr>
      <t xml:space="preserve">30 000 </t>
    </r>
    <r>
      <rPr>
        <sz val="11"/>
        <color theme="1" tint="0.249977111117893"/>
        <rFont val="Calibri"/>
        <family val="2"/>
        <scheme val="minor"/>
      </rPr>
      <t>lekë</t>
    </r>
  </si>
  <si>
    <t>35 001</t>
  </si>
  <si>
    <r>
      <rPr>
        <sz val="14"/>
        <color rgb="FFFF0000"/>
        <rFont val="Calibri"/>
        <family val="2"/>
        <scheme val="minor"/>
      </rPr>
      <t>13%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 xml:space="preserve">të shumës                                  mbi </t>
    </r>
    <r>
      <rPr>
        <b/>
        <sz val="11"/>
        <color rgb="FF000000"/>
        <rFont val="Calibri"/>
        <family val="2"/>
        <scheme val="minor"/>
      </rPr>
      <t>35 000</t>
    </r>
    <r>
      <rPr>
        <sz val="11"/>
        <color indexed="8"/>
        <rFont val="Calibri"/>
        <family val="2"/>
        <scheme val="minor"/>
      </rPr>
      <t xml:space="preserve"> lekë</t>
    </r>
  </si>
  <si>
    <t>Më tepër</t>
  </si>
  <si>
    <t>60 001</t>
  </si>
  <si>
    <t>200 000</t>
  </si>
  <si>
    <r>
      <rPr>
        <sz val="14"/>
        <color theme="9" tint="-0.249977111117893"/>
        <rFont val="Calibri"/>
        <family val="2"/>
        <scheme val="minor"/>
      </rPr>
      <t>13%</t>
    </r>
    <r>
      <rPr>
        <sz val="12"/>
        <color theme="9" tint="-0.249977111117893"/>
        <rFont val="Calibri"/>
        <family val="2"/>
        <scheme val="minor"/>
      </rPr>
      <t xml:space="preserve"> </t>
    </r>
    <r>
      <rPr>
        <sz val="11"/>
        <color rgb="FFC00000"/>
        <rFont val="Calibri"/>
        <family val="2"/>
        <scheme val="minor"/>
      </rPr>
      <t>e</t>
    </r>
    <r>
      <rPr>
        <sz val="11"/>
        <color theme="1" tint="0.249977111117893"/>
        <rFont val="Calibri"/>
        <family val="2"/>
        <scheme val="minor"/>
      </rPr>
      <t xml:space="preserve"> shumës                                            mbi </t>
    </r>
    <r>
      <rPr>
        <b/>
        <sz val="11"/>
        <color theme="1" tint="0.249977111117893"/>
        <rFont val="Calibri"/>
        <family val="2"/>
        <scheme val="minor"/>
      </rPr>
      <t>30 000</t>
    </r>
    <r>
      <rPr>
        <sz val="11"/>
        <color theme="1" tint="0.249977111117893"/>
        <rFont val="Calibri"/>
        <family val="2"/>
        <scheme val="minor"/>
      </rPr>
      <t xml:space="preserve"> lekë</t>
    </r>
  </si>
  <si>
    <r>
      <rPr>
        <sz val="14"/>
        <color rgb="FFFF0000"/>
        <rFont val="Calibri"/>
        <family val="2"/>
        <scheme val="minor"/>
      </rPr>
      <t>13%</t>
    </r>
    <r>
      <rPr>
        <sz val="11"/>
        <color indexed="8"/>
        <rFont val="Calibri"/>
        <family val="2"/>
        <scheme val="minor"/>
      </rPr>
      <t xml:space="preserve"> e shumës                                             mbi </t>
    </r>
    <r>
      <rPr>
        <b/>
        <sz val="11"/>
        <color rgb="FF000000"/>
        <rFont val="Calibri"/>
        <family val="2"/>
        <scheme val="minor"/>
      </rPr>
      <t>30 000</t>
    </r>
    <r>
      <rPr>
        <sz val="11"/>
        <color indexed="8"/>
        <rFont val="Calibri"/>
        <family val="2"/>
        <scheme val="minor"/>
      </rPr>
      <t xml:space="preserve"> lekë</t>
    </r>
  </si>
  <si>
    <t>200 001</t>
  </si>
  <si>
    <r>
      <rPr>
        <sz val="14"/>
        <color theme="9" tint="-0.249977111117893"/>
        <rFont val="Calibri"/>
        <family val="2"/>
        <scheme val="minor"/>
      </rPr>
      <t>22 100 lekë + 23%</t>
    </r>
    <r>
      <rPr>
        <sz val="11"/>
        <color theme="1" tint="0.249977111117893"/>
        <rFont val="Calibri"/>
        <family val="2"/>
        <scheme val="minor"/>
      </rPr>
      <t xml:space="preserve"> të
shumës mbi </t>
    </r>
    <r>
      <rPr>
        <b/>
        <sz val="11"/>
        <color theme="1" tint="0.249977111117893"/>
        <rFont val="Calibri"/>
        <family val="2"/>
        <scheme val="minor"/>
      </rPr>
      <t>200 000</t>
    </r>
    <r>
      <rPr>
        <sz val="11"/>
        <color theme="1" tint="0.249977111117893"/>
        <rFont val="Calibri"/>
        <family val="2"/>
        <scheme val="minor"/>
      </rPr>
      <t xml:space="preserve"> lekë</t>
    </r>
  </si>
  <si>
    <r>
      <rPr>
        <sz val="14"/>
        <color rgb="FFFF0000"/>
        <rFont val="Calibri"/>
        <family val="2"/>
        <scheme val="minor"/>
      </rPr>
      <t xml:space="preserve">22 100 </t>
    </r>
    <r>
      <rPr>
        <sz val="12"/>
        <color rgb="FFFF0000"/>
        <rFont val="Calibri"/>
        <family val="2"/>
        <scheme val="minor"/>
      </rPr>
      <t>lekë</t>
    </r>
    <r>
      <rPr>
        <sz val="14"/>
        <color rgb="FFFF0000"/>
        <rFont val="Calibri"/>
        <family val="2"/>
        <scheme val="minor"/>
      </rPr>
      <t xml:space="preserve"> + 23%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 xml:space="preserve">të
shumës mbi </t>
    </r>
    <r>
      <rPr>
        <b/>
        <sz val="11"/>
        <color rgb="FF000000"/>
        <rFont val="Calibri"/>
        <family val="2"/>
        <scheme val="minor"/>
      </rPr>
      <t>200 000</t>
    </r>
    <r>
      <rPr>
        <sz val="11"/>
        <color indexed="8"/>
        <rFont val="Calibri"/>
        <family val="2"/>
        <scheme val="minor"/>
      </rPr>
      <t xml:space="preserve"> lekë</t>
    </r>
  </si>
  <si>
    <t>*ishte 40,000 lekë</t>
  </si>
  <si>
    <t>*ishte 34,000 lekë (prill 2023)</t>
  </si>
  <si>
    <t>*ishte 149,954 lekë (prill 2023)</t>
  </si>
  <si>
    <r>
      <t xml:space="preserve">Tatohet me 13% Paga Bruto </t>
    </r>
    <r>
      <rPr>
        <sz val="14"/>
        <rFont val="Calibri"/>
        <family val="2"/>
        <scheme val="minor"/>
      </rPr>
      <t>deri në 60,000:</t>
    </r>
  </si>
  <si>
    <t>*ishte 6.5%</t>
  </si>
  <si>
    <t>*ishte 50,000 lekë</t>
  </si>
  <si>
    <r>
      <t xml:space="preserve">Tatimi mbi të Ardhurat </t>
    </r>
    <r>
      <rPr>
        <sz val="14"/>
        <rFont val="Calibri"/>
        <family val="2"/>
        <scheme val="minor"/>
      </rPr>
      <t>mbi 60,000:</t>
    </r>
  </si>
  <si>
    <t>paga_35mije</t>
  </si>
  <si>
    <t>paga_60mije</t>
  </si>
  <si>
    <r>
      <t xml:space="preserve">Tatimi mbi të Ardhurat </t>
    </r>
    <r>
      <rPr>
        <sz val="14"/>
        <rFont val="Calibri"/>
        <family val="2"/>
        <scheme val="minor"/>
      </rPr>
      <t>nga 35,000 deri 60,000:</t>
    </r>
  </si>
  <si>
    <r>
      <t xml:space="preserve">Formula per llogaritjen e shtesës per vjetërsinë, vlera ne përqindje e shkallezuar(shiko #vjetersia)!                                                                                                                                                                                      </t>
    </r>
    <r>
      <rPr>
        <i/>
        <sz val="12"/>
        <rFont val="Calibri"/>
        <family val="2"/>
        <scheme val="minor"/>
      </rPr>
      <t>*KUJDES aplikimin e formulave te shteses per vjetersine ne pune sipas shpjegimit me siper dhe per te dy rastet 'ne Organike' dhe 'Mbi Organike'</t>
    </r>
  </si>
  <si>
    <r>
      <t xml:space="preserve">* FUNKSIONARË TË KABINETEVE </t>
    </r>
    <r>
      <rPr>
        <i/>
        <sz val="14"/>
        <rFont val="Calibri"/>
        <family val="2"/>
        <scheme val="minor"/>
      </rPr>
      <t>(ME KLASA)</t>
    </r>
  </si>
  <si>
    <r>
      <t>* FUNKSIONARË POLITIKË, KABINETET DHE TË TJERË</t>
    </r>
    <r>
      <rPr>
        <i/>
        <sz val="14"/>
        <rFont val="Calibri"/>
        <family val="2"/>
        <scheme val="minor"/>
      </rPr>
      <t xml:space="preserve"> (JASHTË KLASE)</t>
    </r>
  </si>
  <si>
    <r>
      <t>* Shtesa për Kualifikim</t>
    </r>
    <r>
      <rPr>
        <i/>
        <sz val="16"/>
        <rFont val="Calibri"/>
        <family val="2"/>
        <scheme val="minor"/>
      </rPr>
      <t xml:space="preserve"> </t>
    </r>
    <r>
      <rPr>
        <i/>
        <sz val="14"/>
        <rFont val="Calibri"/>
        <family val="2"/>
        <scheme val="minor"/>
      </rPr>
      <t>(ish paga e diplomes)</t>
    </r>
    <r>
      <rPr>
        <i/>
        <sz val="16"/>
        <rFont val="Calibri"/>
        <family val="2"/>
        <scheme val="minor"/>
      </rPr>
      <t xml:space="preserve"> </t>
    </r>
    <r>
      <rPr>
        <sz val="16"/>
        <rFont val="Calibri"/>
        <family val="2"/>
        <scheme val="minor"/>
      </rPr>
      <t xml:space="preserve">per masterin profesional pavaresisht 1 ose 2 vite akademike tani eshte 12,000 </t>
    </r>
    <r>
      <rPr>
        <i/>
        <sz val="14"/>
        <rFont val="Calibri"/>
        <family val="2"/>
        <scheme val="minor"/>
      </rPr>
      <t>(ishte 11,000 ose 14,000)</t>
    </r>
  </si>
  <si>
    <r>
      <rPr>
        <b/>
        <sz val="12"/>
        <rFont val="Calibri"/>
        <family val="2"/>
        <scheme val="minor"/>
      </rPr>
      <t>a)</t>
    </r>
    <r>
      <rPr>
        <sz val="12"/>
        <rFont val="Calibri"/>
        <family val="2"/>
        <scheme val="minor"/>
      </rPr>
      <t xml:space="preserve">  në rastet kur në lidhjen/lidhjet që përcakton/përcaktojnë klasifikimin e pagave të institucionit, klasa e pagës për të njëjtën emërtesë është e përcaktuar vetëm me një alternativë, do të zbatohet klasa e pagës sipas përcaktimit në lidhjen/lidhjet përkatëse të këtij vendimi</t>
    </r>
  </si>
  <si>
    <r>
      <rPr>
        <b/>
        <sz val="12"/>
        <rFont val="Calibri"/>
        <family val="2"/>
        <scheme val="minor"/>
      </rPr>
      <t>(i)</t>
    </r>
    <r>
      <rPr>
        <sz val="12"/>
        <rFont val="Calibri"/>
        <family val="2"/>
        <scheme val="minor"/>
      </rPr>
      <t xml:space="preserve"> klasa II-1, në se kategoria e pagës në organikën ekzistuese është II-b;</t>
    </r>
  </si>
  <si>
    <r>
      <rPr>
        <b/>
        <sz val="12"/>
        <rFont val="Calibri"/>
        <family val="2"/>
        <scheme val="minor"/>
      </rPr>
      <t>(ii)</t>
    </r>
    <r>
      <rPr>
        <sz val="12"/>
        <rFont val="Calibri"/>
        <family val="2"/>
        <scheme val="minor"/>
      </rPr>
      <t xml:space="preserve"> klasa III-1, në se kategoria e pagës në organikën ekzistuese është III-a;</t>
    </r>
  </si>
  <si>
    <r>
      <rPr>
        <b/>
        <sz val="12"/>
        <rFont val="Calibri"/>
        <family val="2"/>
        <scheme val="minor"/>
      </rPr>
      <t>(iii)</t>
    </r>
    <r>
      <rPr>
        <sz val="12"/>
        <rFont val="Calibri"/>
        <family val="2"/>
        <scheme val="minor"/>
      </rPr>
      <t xml:space="preserve"> klasa III-2, në se kategoria e pagës në organikën ekzistuese është III-a/1;</t>
    </r>
  </si>
  <si>
    <r>
      <rPr>
        <b/>
        <sz val="12"/>
        <rFont val="Calibri"/>
        <family val="2"/>
        <scheme val="minor"/>
      </rPr>
      <t>(iv)</t>
    </r>
    <r>
      <rPr>
        <sz val="12"/>
        <rFont val="Calibri"/>
        <family val="2"/>
        <scheme val="minor"/>
      </rPr>
      <t xml:space="preserve"> klasa III-3, në se kategoria e pagës për pozicionet “përgjegjës/shef sektori” në organikën ekzistuese është III-b;</t>
    </r>
  </si>
  <si>
    <r>
      <rPr>
        <b/>
        <sz val="12"/>
        <rFont val="Calibri"/>
        <family val="2"/>
        <scheme val="minor"/>
      </rPr>
      <t>(v)</t>
    </r>
    <r>
      <rPr>
        <sz val="12"/>
        <rFont val="Calibri"/>
        <family val="2"/>
        <scheme val="minor"/>
      </rPr>
      <t xml:space="preserve"> përkatësisht klasat III-2 ose III-3, në se kategoritë e pagave për pozicionet përgjegjës/shef sektori/zyre në organikën ekzistuese të administratës së prefektit janë përkatësisht III-b ose IV-a; </t>
    </r>
  </si>
  <si>
    <r>
      <rPr>
        <b/>
        <sz val="12"/>
        <rFont val="Calibri"/>
        <family val="2"/>
        <scheme val="minor"/>
      </rPr>
      <t>(vi)</t>
    </r>
    <r>
      <rPr>
        <sz val="12"/>
        <rFont val="Calibri"/>
        <family val="2"/>
        <scheme val="minor"/>
      </rPr>
      <t xml:space="preserve"> përkatësisht klasat IV-1, IV-2, IV-3 ose IV-4, për të gjitha rastet e tjera përjashtuar sa përcaktuar më sipër në këtë pikë, nëse kategoritë e pagave në organikat ekzsituese janë përkatësisht III-b, IV-a, IV-b ose IV-c.  </t>
    </r>
  </si>
  <si>
    <t>*ishte 30,000 lekë</t>
  </si>
  <si>
    <r>
      <t>Pragu poshtëm</t>
    </r>
    <r>
      <rPr>
        <sz val="14"/>
        <rFont val="Calibri"/>
        <family val="2"/>
        <scheme val="minor"/>
      </rPr>
      <t xml:space="preserve"> per llogaritjen e tatimit mbi 60,000:</t>
    </r>
  </si>
  <si>
    <t>=ROUND( IF((Paga Bruto Mujore - Sigurimi vullnetar - Përjashtimi për të verbërit) &lt;= 50 mije leke,tatimi 0 leke, IF((Paga Bruto Mujore - Sigurimi vullnetar - Përjashtimi për të verbërit) &lt;= 60 mije leke,(Paga Bruto Mujore - Sigurimi vullnetar - Përjashtimi për të verbërit - 35 mije leke) x tatimi 13 %, IF((Paga Bruto Mujore - Sigurimi vullnetar - Përjashtimi për të verbërit) &lt;= 200 mije leke,(Paga Bruto Mujore - Sigurimi vullnetar - Përjashtimi për të verbërit - 30 mije leke) x tatimi 13%,(Paga Bruto Mujore - Sigurimi vullnetar - Përjashtimi për të verbërit - 200 mije leke) x tatimi 23% + tatimi fiks 22100 leke))),0)</t>
  </si>
  <si>
    <t xml:space="preserve"> =ROUND(IF((AK10-AL10-AM10)&lt;=paga_50mije,0,IF((AK10-AL10-AM10)&lt;=paga_60mije,(AK10-AL10-AM10-paga_35mije)*tatimi_13,IF((AK10-AL10-AM10)&lt;=paga_200mije,(AK10-AL10-AM10-paga_30mije)*tatimi_13,(AK10-AL10-AM10-paga_200mije)*tatimi_23 +tatimi_fiks_deri200mije))),0)</t>
  </si>
  <si>
    <t>Prill 2023</t>
  </si>
  <si>
    <r>
      <t xml:space="preserve">Shpjegimi per formulen e llogaritjes per tatimin mbi te ardhurat mujore nga paga </t>
    </r>
    <r>
      <rPr>
        <i/>
        <sz val="14"/>
        <color theme="1"/>
        <rFont val="Calibri"/>
        <family val="2"/>
        <scheme val="minor"/>
      </rPr>
      <t>(duke filluar nga paga e muajit Qershor 2023)</t>
    </r>
  </si>
  <si>
    <r>
      <rPr>
        <b/>
        <sz val="12"/>
        <color rgb="FFFF0000"/>
        <rFont val="Calibri"/>
        <family val="2"/>
        <scheme val="minor"/>
      </rPr>
      <t xml:space="preserve">b) në rastet kur për emërtesa të njëjta në lidhjen/lidhjet që përcakton/përcaktojnë klasifikimin e pagave të institucionit janë përcaktuar më shumë se sa një klasë page, klasat që do të zbatohen janë si vijon: </t>
    </r>
  </si>
  <si>
    <r>
      <rPr>
        <sz val="11"/>
        <color rgb="FFFF0000"/>
        <rFont val="Calibri"/>
        <family val="2"/>
        <scheme val="minor"/>
      </rPr>
      <t>HIQE KETE</t>
    </r>
    <r>
      <rPr>
        <sz val="11"/>
        <color theme="1"/>
        <rFont val="Calibri"/>
        <family val="2"/>
        <scheme val="minor"/>
      </rPr>
      <t xml:space="preserve"> Shtesë page për kualifikim shkencor           </t>
    </r>
  </si>
  <si>
    <r>
      <t>Pragu poshtëm</t>
    </r>
    <r>
      <rPr>
        <sz val="14"/>
        <rFont val="Calibri"/>
        <family val="2"/>
        <scheme val="minor"/>
      </rPr>
      <t xml:space="preserve"> per llogaritjen e tatimit deri 60,000:</t>
    </r>
  </si>
  <si>
    <t>Qershor 2023 (ndryshimi i tatimit)</t>
  </si>
  <si>
    <t>Prill 2023 (rritja e pagave)</t>
  </si>
  <si>
    <r>
      <t xml:space="preserve">Ndryshuar! </t>
    </r>
    <r>
      <rPr>
        <i/>
        <sz val="12"/>
        <color rgb="FFFF0000"/>
        <rFont val="Calibri Light"/>
        <family val="2"/>
      </rPr>
      <t>*</t>
    </r>
    <r>
      <rPr>
        <sz val="12"/>
        <color rgb="FFFF0000"/>
        <rFont val="Calibri Light"/>
        <family val="2"/>
      </rPr>
      <t xml:space="preserve"> Korrik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</si>
</sst>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3" formatCode="_(* #,##0.00_);_(* \(#,##0.00\);_(* &quot;-&quot;??_);_(@_)"/>
    <numFmt numFmtId="164" formatCode="000\ 000\ 000\ 000"/>
    <numFmt numFmtId="165" formatCode="0.000%"/>
    <numFmt numFmtId="166" formatCode="0.0"/>
    <numFmt numFmtId="167" formatCode="_(* #,##0.000_);_(* \(#,##0.000\);_(* &quot;-&quot;??_);_(@_)"/>
    <numFmt numFmtId="168" formatCode="_(* #,##0_);_(* \(#,##0\);_(* &quot;-&quot;??_);_(@_)"/>
    <numFmt numFmtId="169" formatCode="0.0%"/>
  </numFmts>
  <fonts count="157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sz val="11"/>
      <color theme="1"/>
      <name val="Calibri Light"/>
      <family val="2"/>
    </font>
    <font>
      <sz val="11"/>
      <color theme="1"/>
      <name val="Calibri Light"/>
      <family val="2"/>
    </font>
    <font>
      <sz val="11"/>
      <color theme="1"/>
      <name val="Calibri Light"/>
      <family val="2"/>
    </font>
    <font>
      <sz val="11"/>
      <color theme="1"/>
      <name val="Calibri Light"/>
      <family val="2"/>
    </font>
    <font>
      <sz val="11"/>
      <color theme="1"/>
      <name val="Calibri Light"/>
      <family val="2"/>
    </font>
    <font>
      <sz val="12"/>
      <color theme="1"/>
      <name val="Calibri Light"/>
      <family val="2"/>
    </font>
    <font>
      <b/>
      <sz val="12"/>
      <color theme="1"/>
      <name val="Calibri Light"/>
      <family val="2"/>
    </font>
    <font>
      <sz val="10"/>
      <color theme="1"/>
      <name val="Calibri Light"/>
      <family val="2"/>
    </font>
    <font>
      <b/>
      <sz val="10"/>
      <color theme="1"/>
      <name val="Calibri Light"/>
      <family val="2"/>
    </font>
    <font>
      <sz val="16"/>
      <color theme="1"/>
      <name val="Calibri Light"/>
      <family val="2"/>
    </font>
    <font>
      <b/>
      <sz val="9"/>
      <color theme="1"/>
      <name val="Calibri Light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rgb="FFC00000"/>
      <name val="Calibri Light"/>
      <family val="2"/>
    </font>
    <font>
      <sz val="14"/>
      <color rgb="FFC00000"/>
      <name val="Calibri"/>
      <family val="2"/>
      <scheme val="minor"/>
    </font>
    <font>
      <sz val="12"/>
      <name val="Calibri Light"/>
      <family val="2"/>
    </font>
    <font>
      <sz val="12"/>
      <color theme="0" tint="-0.499984740745262"/>
      <name val="Calibri"/>
      <family val="2"/>
      <scheme val="minor"/>
    </font>
    <font>
      <b/>
      <sz val="12"/>
      <name val="Calibri Light"/>
      <family val="2"/>
    </font>
    <font>
      <b/>
      <sz val="12"/>
      <color rgb="FFC00000"/>
      <name val="Calibri Light"/>
      <family val="2"/>
    </font>
    <font>
      <sz val="11"/>
      <color rgb="FF0070C0"/>
      <name val="Calibri Light"/>
      <family val="2"/>
    </font>
    <font>
      <sz val="11"/>
      <color rgb="FF00B0F0"/>
      <name val="Calibri Light"/>
      <family val="2"/>
    </font>
    <font>
      <sz val="14"/>
      <color theme="1"/>
      <name val="Calibri Light"/>
      <family val="2"/>
    </font>
    <font>
      <sz val="12"/>
      <color rgb="FFFF0000"/>
      <name val="Calibri Light"/>
      <family val="2"/>
    </font>
    <font>
      <b/>
      <sz val="9"/>
      <name val="Calibri Light"/>
      <family val="2"/>
    </font>
    <font>
      <sz val="10"/>
      <name val="Calibri"/>
      <family val="2"/>
      <scheme val="minor"/>
    </font>
    <font>
      <sz val="11"/>
      <name val="Calibri Light"/>
      <family val="2"/>
    </font>
    <font>
      <sz val="10"/>
      <color rgb="FF0070C0"/>
      <name val="Calibri"/>
      <family val="2"/>
      <scheme val="minor"/>
    </font>
    <font>
      <b/>
      <sz val="9"/>
      <color rgb="FF0070C0"/>
      <name val="Calibri Light"/>
      <family val="2"/>
    </font>
    <font>
      <sz val="16"/>
      <name val="Calibri Light"/>
      <family val="2"/>
    </font>
    <font>
      <b/>
      <sz val="11"/>
      <color theme="1"/>
      <name val="Calibri"/>
      <family val="2"/>
      <scheme val="minor"/>
    </font>
    <font>
      <b/>
      <sz val="16"/>
      <color theme="3"/>
      <name val="Calibri Light"/>
      <family val="2"/>
    </font>
    <font>
      <b/>
      <sz val="10"/>
      <color rgb="FF0070C0"/>
      <name val="Calibri Light"/>
      <family val="2"/>
    </font>
    <font>
      <sz val="11"/>
      <color rgb="FFC00000"/>
      <name val="Calibri Light"/>
      <family val="2"/>
    </font>
    <font>
      <b/>
      <sz val="11"/>
      <name val="Calibri Light"/>
      <family val="2"/>
    </font>
    <font>
      <b/>
      <sz val="11"/>
      <color rgb="FFC00000"/>
      <name val="Calibri Light"/>
      <family val="2"/>
    </font>
    <font>
      <sz val="10"/>
      <name val="Arial"/>
      <family val="2"/>
    </font>
    <font>
      <sz val="12"/>
      <color theme="0"/>
      <name val="Calibri Light"/>
      <family val="2"/>
    </font>
    <font>
      <sz val="14"/>
      <color theme="0"/>
      <name val="Calibri Light"/>
      <family val="2"/>
    </font>
    <font>
      <sz val="12"/>
      <name val="Consolas"/>
      <family val="3"/>
    </font>
    <font>
      <sz val="11"/>
      <name val="Consolas"/>
      <family val="3"/>
    </font>
    <font>
      <sz val="11"/>
      <color theme="1"/>
      <name val="Consolas"/>
      <family val="3"/>
    </font>
    <font>
      <sz val="14"/>
      <color rgb="FFFF0000"/>
      <name val="Calibri"/>
      <family val="2"/>
      <scheme val="minor"/>
    </font>
    <font>
      <b/>
      <sz val="18"/>
      <name val="Calibri Light"/>
      <family val="2"/>
    </font>
    <font>
      <sz val="11"/>
      <color rgb="FFFF0000"/>
      <name val="Consolas"/>
      <family val="3"/>
    </font>
    <font>
      <sz val="11"/>
      <color rgb="FFC00000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rgb="FFFF0000"/>
      <name val="Calibri Light"/>
      <family val="2"/>
    </font>
    <font>
      <b/>
      <sz val="16"/>
      <color theme="1"/>
      <name val="Calibri Light"/>
      <family val="2"/>
    </font>
    <font>
      <b/>
      <sz val="12"/>
      <color theme="1"/>
      <name val="Calibri"/>
      <family val="2"/>
    </font>
    <font>
      <b/>
      <sz val="18"/>
      <color rgb="FF00B0F0"/>
      <name val="Calibri Light"/>
      <family val="2"/>
    </font>
    <font>
      <sz val="11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2"/>
      <color rgb="FF0070C0"/>
      <name val="Calibri Light"/>
      <family val="2"/>
    </font>
    <font>
      <b/>
      <sz val="11"/>
      <name val="Calibri"/>
      <family val="2"/>
      <scheme val="minor"/>
    </font>
    <font>
      <b/>
      <sz val="14"/>
      <color theme="1"/>
      <name val="Calibri Light"/>
      <family val="2"/>
    </font>
    <font>
      <sz val="18"/>
      <color rgb="FFFF0000"/>
      <name val="Calibri"/>
      <family val="2"/>
    </font>
    <font>
      <i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2"/>
      <color rgb="FFC00000"/>
      <name val="Calibri"/>
      <family val="2"/>
      <scheme val="minor"/>
    </font>
    <font>
      <sz val="11"/>
      <color rgb="FF0070C0"/>
      <name val="Arial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 Light"/>
      <family val="2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FF0000"/>
      <name val="Calibri Light"/>
      <family val="2"/>
    </font>
    <font>
      <b/>
      <sz val="18"/>
      <color rgb="FFFF0000"/>
      <name val="Calibri Light"/>
      <family val="2"/>
    </font>
    <font>
      <b/>
      <sz val="14"/>
      <color theme="1"/>
      <name val="Calibri"/>
      <family val="2"/>
    </font>
    <font>
      <sz val="11"/>
      <color theme="9"/>
      <name val="Calibri"/>
      <family val="2"/>
      <scheme val="minor"/>
    </font>
    <font>
      <b/>
      <sz val="12"/>
      <name val="Calibri"/>
      <family val="2"/>
      <scheme val="minor"/>
    </font>
    <font>
      <sz val="20"/>
      <color rgb="FFFF0000"/>
      <name val="Calibri"/>
      <family val="2"/>
    </font>
    <font>
      <b/>
      <sz val="16"/>
      <color rgb="FF008000"/>
      <name val="Calibri Light"/>
      <family val="2"/>
    </font>
    <font>
      <b/>
      <sz val="12"/>
      <color rgb="FF008000"/>
      <name val="Calibri Light"/>
      <family val="2"/>
    </font>
    <font>
      <b/>
      <sz val="14"/>
      <name val="Calibri"/>
      <family val="2"/>
    </font>
    <font>
      <b/>
      <sz val="9"/>
      <color rgb="FFFF0000"/>
      <name val="Calibri Light"/>
      <family val="2"/>
    </font>
    <font>
      <sz val="16"/>
      <color rgb="FFFF0000"/>
      <name val="Calibri Light"/>
      <family val="2"/>
    </font>
    <font>
      <sz val="11"/>
      <color theme="0" tint="-0.249977111117893"/>
      <name val="Calibri Light"/>
      <family val="2"/>
    </font>
    <font>
      <b/>
      <sz val="10"/>
      <color rgb="FF0000FF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"/>
      <color rgb="FFFF0000"/>
      <name val="Calibri Light"/>
      <family val="2"/>
    </font>
    <font>
      <sz val="10"/>
      <color rgb="FFFF0000"/>
      <name val="Calibri Light"/>
      <family val="2"/>
    </font>
    <font>
      <b/>
      <sz val="18"/>
      <color rgb="FF0000FF"/>
      <name val="Calibri Light"/>
      <family val="2"/>
    </font>
    <font>
      <b/>
      <sz val="14"/>
      <color rgb="FFFFFF00"/>
      <name val="Calibri Light"/>
      <family val="2"/>
    </font>
    <font>
      <b/>
      <sz val="12"/>
      <color rgb="FFFF0000"/>
      <name val="Calibri Light"/>
      <family val="2"/>
    </font>
    <font>
      <sz val="11"/>
      <color theme="0"/>
      <name val="Calibri"/>
      <family val="2"/>
      <scheme val="minor"/>
    </font>
    <font>
      <sz val="16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FFFF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theme="1" tint="0.34998626667073579"/>
      <name val="Consolas"/>
      <family val="3"/>
    </font>
    <font>
      <i/>
      <sz val="12"/>
      <color rgb="FF3333FF"/>
      <name val="Consolas"/>
      <family val="3"/>
    </font>
    <font>
      <sz val="10"/>
      <color theme="3" tint="0.79998168889431442"/>
      <name val="Consolas"/>
      <family val="3"/>
    </font>
    <font>
      <i/>
      <sz val="10"/>
      <color rgb="FF3333FF"/>
      <name val="Consolas"/>
      <family val="3"/>
    </font>
    <font>
      <sz val="11"/>
      <color theme="0" tint="-0.14999847407452621"/>
      <name val="Consolas"/>
      <family val="3"/>
    </font>
    <font>
      <sz val="10"/>
      <color theme="3" tint="0.59999389629810485"/>
      <name val="Consolas"/>
      <family val="3"/>
    </font>
    <font>
      <sz val="11"/>
      <color theme="0" tint="-0.34998626667073579"/>
      <name val="Consolas"/>
      <family val="3"/>
    </font>
    <font>
      <sz val="10"/>
      <color theme="3" tint="0.39997558519241921"/>
      <name val="Consolas"/>
      <family val="3"/>
    </font>
    <font>
      <sz val="10"/>
      <color rgb="FF3333FF"/>
      <name val="Consolas"/>
      <family val="3"/>
    </font>
    <font>
      <sz val="12"/>
      <color rgb="FF3333FF"/>
      <name val="Consolas"/>
      <family val="3"/>
    </font>
    <font>
      <i/>
      <sz val="10"/>
      <color theme="1" tint="0.499984740745262"/>
      <name val="Consolas"/>
      <family val="3"/>
    </font>
    <font>
      <sz val="11"/>
      <color rgb="FF3333FF"/>
      <name val="Consolas"/>
      <family val="3"/>
    </font>
    <font>
      <b/>
      <i/>
      <sz val="10"/>
      <color rgb="FF3333FF"/>
      <name val="Calibri"/>
      <family val="2"/>
      <scheme val="minor"/>
    </font>
    <font>
      <b/>
      <sz val="10"/>
      <color rgb="FF3333FF"/>
      <name val="Calibri"/>
      <family val="2"/>
      <scheme val="minor"/>
    </font>
    <font>
      <b/>
      <sz val="11"/>
      <color rgb="FF3333FF"/>
      <name val="Calibri"/>
      <family val="2"/>
      <scheme val="minor"/>
    </font>
    <font>
      <i/>
      <sz val="18"/>
      <color theme="0"/>
      <name val="Calibri Light"/>
      <family val="2"/>
    </font>
    <font>
      <i/>
      <sz val="14"/>
      <color theme="0"/>
      <name val="Calibri Light"/>
      <family val="2"/>
    </font>
    <font>
      <sz val="14"/>
      <color theme="0"/>
      <name val="Calibri"/>
      <family val="2"/>
      <scheme val="minor"/>
    </font>
    <font>
      <sz val="24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rgb="FFC00000"/>
      <name val="Calibri Light"/>
      <family val="2"/>
    </font>
    <font>
      <sz val="14"/>
      <name val="Calibri Light"/>
      <family val="2"/>
    </font>
    <font>
      <b/>
      <sz val="16"/>
      <color rgb="FFFFFF00"/>
      <name val="Calibri Light"/>
      <family val="2"/>
    </font>
    <font>
      <i/>
      <sz val="14"/>
      <name val="Calibri"/>
      <family val="2"/>
      <scheme val="minor"/>
    </font>
    <font>
      <sz val="11"/>
      <color theme="0"/>
      <name val="Calibri Light"/>
      <family val="2"/>
    </font>
    <font>
      <b/>
      <sz val="10"/>
      <name val="Calibri Light"/>
      <family val="2"/>
    </font>
    <font>
      <sz val="10"/>
      <color rgb="FF0070C0"/>
      <name val="Calibri Light"/>
      <family val="2"/>
    </font>
    <font>
      <sz val="16"/>
      <color rgb="FFFFFF00"/>
      <name val="Arial"/>
      <family val="2"/>
    </font>
    <font>
      <i/>
      <sz val="10"/>
      <color theme="1"/>
      <name val="Calibri Light"/>
      <family val="2"/>
    </font>
    <font>
      <sz val="11"/>
      <color theme="1" tint="0.499984740745262"/>
      <name val="Calibri"/>
      <family val="2"/>
      <scheme val="minor"/>
    </font>
    <font>
      <sz val="12"/>
      <color theme="1" tint="0.499984740745262"/>
      <name val="Arial"/>
      <family val="2"/>
    </font>
    <font>
      <b/>
      <sz val="12"/>
      <color theme="1" tint="0.499984740745262"/>
      <name val="Arial"/>
      <family val="2"/>
    </font>
    <font>
      <sz val="11"/>
      <color theme="1" tint="0.499984740745262"/>
      <name val="Arial"/>
      <family val="2"/>
    </font>
    <font>
      <sz val="14"/>
      <color theme="1" tint="0.499984740745262"/>
      <name val="Arial"/>
      <family val="2"/>
    </font>
    <font>
      <i/>
      <sz val="11"/>
      <color theme="1" tint="0.499984740745262"/>
      <name val="Arial"/>
      <family val="2"/>
    </font>
    <font>
      <sz val="12"/>
      <color theme="1" tint="0.499984740745262"/>
      <name val="Calibri"/>
      <family val="2"/>
      <scheme val="minor"/>
    </font>
    <font>
      <b/>
      <sz val="11"/>
      <color rgb="FF3333FF"/>
      <name val="Consolas"/>
      <family val="3"/>
    </font>
    <font>
      <i/>
      <sz val="11"/>
      <name val="Calibri Light"/>
      <family val="2"/>
    </font>
    <font>
      <sz val="12"/>
      <color theme="5" tint="0.39997558519241921"/>
      <name val="Calibri"/>
      <family val="2"/>
      <scheme val="minor"/>
    </font>
    <font>
      <sz val="12"/>
      <color rgb="FFFFFF00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2"/>
      <color indexed="8"/>
      <name val="Calibri"/>
      <family val="2"/>
      <scheme val="minor"/>
    </font>
    <font>
      <sz val="14"/>
      <color theme="9" tint="-0.249977111117893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theme="9" tint="-0.249977111117893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sz val="16"/>
      <name val="Calibri"/>
      <family val="2"/>
      <scheme val="minor"/>
    </font>
    <font>
      <i/>
      <sz val="16"/>
      <name val="Calibri"/>
      <family val="2"/>
      <scheme val="minor"/>
    </font>
    <font>
      <b/>
      <sz val="14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2"/>
      <color rgb="FFFF0000"/>
      <name val="Calibri Light"/>
      <family val="2"/>
    </font>
  </fonts>
  <fills count="5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lightUp">
        <fgColor theme="0" tint="-0.14996795556505021"/>
        <bgColor theme="0"/>
      </patternFill>
    </fill>
    <fill>
      <patternFill patternType="lightUp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lightUp">
        <fgColor rgb="FFD2FFFF"/>
        <bgColor theme="0"/>
      </patternFill>
    </fill>
    <fill>
      <patternFill patternType="lightUp">
        <fgColor theme="0"/>
        <bgColor theme="0" tint="-0.14993743705557422"/>
      </patternFill>
    </fill>
    <fill>
      <patternFill patternType="lightUp">
        <fgColor rgb="FF00B0F0"/>
        <bgColor theme="0"/>
      </patternFill>
    </fill>
    <fill>
      <patternFill patternType="lightUp">
        <fgColor theme="9"/>
        <bgColor theme="0"/>
      </patternFill>
    </fill>
    <fill>
      <patternFill patternType="lightUp">
        <fgColor rgb="FF9FE6FF"/>
        <bgColor theme="0"/>
      </patternFill>
    </fill>
    <fill>
      <patternFill patternType="lightUp">
        <fgColor rgb="FF92D05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rgb="FFD2FFFF"/>
      </patternFill>
    </fill>
    <fill>
      <patternFill patternType="solid">
        <fgColor theme="0"/>
        <bgColor auto="1"/>
      </patternFill>
    </fill>
    <fill>
      <patternFill patternType="darkUp">
        <fgColor rgb="FFFFFF99"/>
        <bgColor theme="0"/>
      </patternFill>
    </fill>
    <fill>
      <patternFill patternType="lightUp">
        <fgColor theme="9" tint="0.59996337778862885"/>
        <bgColor rgb="FFFFFF99"/>
      </patternFill>
    </fill>
    <fill>
      <patternFill patternType="lightUp">
        <fgColor theme="9" tint="0.79998168889431442"/>
        <bgColor rgb="FFFFFF00"/>
      </patternFill>
    </fill>
    <fill>
      <patternFill patternType="solid">
        <fgColor theme="0" tint="-0.14999847407452621"/>
        <bgColor indexed="64"/>
      </patternFill>
    </fill>
    <fill>
      <patternFill patternType="lightUp">
        <fgColor rgb="FFFFFF99"/>
        <bgColor theme="0"/>
      </patternFill>
    </fill>
    <fill>
      <patternFill patternType="darkUp">
        <fgColor rgb="FFFFFF00"/>
        <bgColor theme="0"/>
      </patternFill>
    </fill>
    <fill>
      <patternFill patternType="lightUp">
        <fgColor rgb="FFFFFFCC"/>
      </patternFill>
    </fill>
    <fill>
      <patternFill patternType="lightUp">
        <fgColor rgb="FFFFFF00"/>
      </patternFill>
    </fill>
    <fill>
      <patternFill patternType="solid">
        <fgColor rgb="FFFFFF99"/>
        <bgColor indexed="64"/>
      </patternFill>
    </fill>
    <fill>
      <patternFill patternType="lightUp">
        <fgColor theme="9" tint="0.79998168889431442"/>
        <bgColor theme="0"/>
      </patternFill>
    </fill>
    <fill>
      <patternFill patternType="solid">
        <fgColor rgb="FFD2FFFF"/>
        <bgColor indexed="64"/>
      </patternFill>
    </fill>
    <fill>
      <patternFill patternType="lightUp">
        <fgColor rgb="FFFFCCCC"/>
        <bgColor theme="0"/>
      </patternFill>
    </fill>
    <fill>
      <patternFill patternType="lightUp">
        <fgColor rgb="FF00FF00"/>
        <bgColor theme="0"/>
      </patternFill>
    </fill>
    <fill>
      <patternFill patternType="lightUp">
        <fgColor rgb="FF99FF99"/>
        <bgColor theme="0"/>
      </patternFill>
    </fill>
    <fill>
      <patternFill patternType="lightUp">
        <fgColor rgb="FFCCFF99"/>
        <bgColor theme="0"/>
      </patternFill>
    </fill>
    <fill>
      <patternFill patternType="lightUp">
        <fgColor rgb="FFFFCCCC"/>
      </patternFill>
    </fill>
    <fill>
      <patternFill patternType="lightUp">
        <fgColor rgb="FFFF0000"/>
      </patternFill>
    </fill>
    <fill>
      <patternFill patternType="lightUp">
        <fgColor rgb="FFFFC4C3"/>
      </patternFill>
    </fill>
    <fill>
      <patternFill patternType="lightUp">
        <fgColor theme="2"/>
      </patternFill>
    </fill>
    <fill>
      <patternFill patternType="lightUp">
        <fgColor rgb="FFD4D4FF"/>
      </patternFill>
    </fill>
    <fill>
      <patternFill patternType="lightUp">
        <fgColor theme="3" tint="0.79998168889431442"/>
        <bgColor indexed="65"/>
      </patternFill>
    </fill>
    <fill>
      <patternFill patternType="solid">
        <fgColor rgb="FF3333FF"/>
        <bgColor indexed="64"/>
      </patternFill>
    </fill>
    <fill>
      <patternFill patternType="lightUp">
        <fgColor rgb="FFFFFF00"/>
        <bgColor theme="0"/>
      </patternFill>
    </fill>
    <fill>
      <patternFill patternType="lightUp">
        <fgColor theme="0" tint="-0.14996795556505021"/>
        <bgColor indexed="65"/>
      </patternFill>
    </fill>
    <fill>
      <patternFill patternType="darkUp">
        <fgColor theme="0" tint="-0.24994659260841701"/>
        <bgColor indexed="65"/>
      </patternFill>
    </fill>
    <fill>
      <patternFill patternType="lightGray">
        <fgColor rgb="FFCCFF99"/>
      </patternFill>
    </fill>
    <fill>
      <patternFill patternType="darkUp">
        <fgColor rgb="FFFFFFCC"/>
      </patternFill>
    </fill>
    <fill>
      <patternFill patternType="solid">
        <fgColor theme="9"/>
        <bgColor indexed="64"/>
      </patternFill>
    </fill>
    <fill>
      <patternFill patternType="solid">
        <fgColor rgb="FFF9EEED"/>
        <bgColor indexed="64"/>
      </patternFill>
    </fill>
    <fill>
      <patternFill patternType="solid">
        <fgColor rgb="FFFF0000"/>
        <bgColor indexed="64"/>
      </patternFill>
    </fill>
    <fill>
      <patternFill patternType="darkUp">
        <fgColor theme="0" tint="-4.9989318521683403E-2"/>
        <bgColor indexed="65"/>
      </patternFill>
    </fill>
    <fill>
      <patternFill patternType="lightUp">
        <fgColor rgb="FFCCFF99"/>
      </patternFill>
    </fill>
    <fill>
      <patternFill patternType="lightUp">
        <fgColor theme="0" tint="-0.14996795556505021"/>
        <bgColor rgb="FFFFFF00"/>
      </patternFill>
    </fill>
    <fill>
      <patternFill patternType="lightUp">
        <fgColor theme="0" tint="-0.34998626667073579"/>
        <bgColor indexed="65"/>
      </patternFill>
    </fill>
    <fill>
      <patternFill patternType="solid">
        <fgColor rgb="FFFFFFCC"/>
        <bgColor theme="0" tint="-0.14993743705557422"/>
      </patternFill>
    </fill>
  </fills>
  <borders count="2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theme="0" tint="-0.24994659260841701"/>
      </left>
      <right style="dashed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/>
      <top/>
      <bottom style="medium">
        <color auto="1"/>
      </bottom>
      <diagonal/>
    </border>
    <border>
      <left/>
      <right style="thin">
        <color theme="0" tint="-0.34998626667073579"/>
      </right>
      <top/>
      <bottom style="medium">
        <color auto="1"/>
      </bottom>
      <diagonal/>
    </border>
    <border>
      <left/>
      <right/>
      <top/>
      <bottom style="thin">
        <color rgb="FFC00000"/>
      </bottom>
      <diagonal/>
    </border>
    <border>
      <left/>
      <right/>
      <top/>
      <bottom style="medium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dashed">
        <color theme="0" tint="-0.24994659260841701"/>
      </left>
      <right style="dashed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rgb="FF0070C0"/>
      </top>
      <bottom style="thin">
        <color rgb="FF0070C0"/>
      </bottom>
      <diagonal/>
    </border>
    <border>
      <left style="dashed">
        <color theme="0" tint="-0.24994659260841701"/>
      </left>
      <right style="dashed">
        <color theme="0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dashed">
        <color theme="0" tint="-0.24994659260841701"/>
      </left>
      <right style="dashed">
        <color theme="0" tint="-0.24994659260841701"/>
      </right>
      <top/>
      <bottom style="thin">
        <color indexed="64"/>
      </bottom>
      <diagonal/>
    </border>
    <border>
      <left style="dashed">
        <color theme="0" tint="-0.24994659260841701"/>
      </left>
      <right style="dashed">
        <color theme="0" tint="-0.24994659260841701"/>
      </right>
      <top/>
      <bottom style="thin">
        <color theme="3" tint="0.59996337778862885"/>
      </bottom>
      <diagonal/>
    </border>
    <border>
      <left style="dashed">
        <color theme="0" tint="-0.24994659260841701"/>
      </left>
      <right style="dashed">
        <color theme="0" tint="-0.24994659260841701"/>
      </right>
      <top style="thin">
        <color theme="0" tint="-0.34998626667073579"/>
      </top>
      <bottom style="thin">
        <color indexed="64"/>
      </bottom>
      <diagonal/>
    </border>
    <border>
      <left style="dashed">
        <color theme="0" tint="-0.24994659260841701"/>
      </left>
      <right style="dashed">
        <color theme="0" tint="-0.24994659260841701"/>
      </right>
      <top style="thin">
        <color theme="3" tint="0.59996337778862885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medium">
        <color theme="1"/>
      </bottom>
      <diagonal/>
    </border>
    <border>
      <left style="thick">
        <color theme="0"/>
      </left>
      <right style="thick">
        <color theme="0"/>
      </right>
      <top style="medium">
        <color theme="1"/>
      </top>
      <bottom style="medium">
        <color theme="1"/>
      </bottom>
      <diagonal/>
    </border>
    <border>
      <left/>
      <right style="thick">
        <color theme="0"/>
      </right>
      <top style="thin">
        <color indexed="64"/>
      </top>
      <bottom style="medium">
        <color theme="1"/>
      </bottom>
      <diagonal/>
    </border>
    <border>
      <left/>
      <right style="thick">
        <color theme="0"/>
      </right>
      <top style="medium">
        <color theme="1"/>
      </top>
      <bottom style="medium">
        <color theme="1"/>
      </bottom>
      <diagonal/>
    </border>
    <border>
      <left/>
      <right style="dashed">
        <color theme="0" tint="-0.24994659260841701"/>
      </right>
      <top style="thin">
        <color theme="0" tint="-0.34998626667073579"/>
      </top>
      <bottom style="thin">
        <color indexed="64"/>
      </bottom>
      <diagonal/>
    </border>
    <border>
      <left/>
      <right style="dashed">
        <color theme="0" tint="-0.24994659260841701"/>
      </right>
      <top/>
      <bottom style="thin">
        <color theme="0" tint="-0.34998626667073579"/>
      </bottom>
      <diagonal/>
    </border>
    <border>
      <left style="thick">
        <color theme="0"/>
      </left>
      <right/>
      <top style="thin">
        <color indexed="64"/>
      </top>
      <bottom style="medium">
        <color theme="1"/>
      </bottom>
      <diagonal/>
    </border>
    <border>
      <left style="thick">
        <color theme="0"/>
      </left>
      <right/>
      <top style="medium">
        <color theme="1"/>
      </top>
      <bottom style="medium">
        <color theme="1"/>
      </bottom>
      <diagonal/>
    </border>
    <border>
      <left style="dashed">
        <color theme="0" tint="-0.24994659260841701"/>
      </left>
      <right/>
      <top style="thin">
        <color theme="0" tint="-0.34998626667073579"/>
      </top>
      <bottom style="thin">
        <color indexed="64"/>
      </bottom>
      <diagonal/>
    </border>
    <border>
      <left style="dashed">
        <color theme="0" tint="-0.24994659260841701"/>
      </left>
      <right/>
      <top/>
      <bottom style="thin">
        <color theme="0" tint="-0.34998626667073579"/>
      </bottom>
      <diagonal/>
    </border>
    <border>
      <left style="dashed">
        <color theme="0" tint="-0.2499465926084170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/>
      <bottom style="medium">
        <color indexed="64"/>
      </bottom>
      <diagonal/>
    </border>
    <border>
      <left style="medium">
        <color theme="5"/>
      </left>
      <right style="medium">
        <color theme="5"/>
      </right>
      <top style="thin">
        <color theme="0" tint="-0.34998626667073579"/>
      </top>
      <bottom style="thin">
        <color indexed="64"/>
      </bottom>
      <diagonal/>
    </border>
    <border>
      <left style="medium">
        <color theme="5"/>
      </left>
      <right style="medium">
        <color theme="5"/>
      </right>
      <top/>
      <bottom style="thin">
        <color theme="0" tint="-0.34998626667073579"/>
      </bottom>
      <diagonal/>
    </border>
    <border>
      <left style="medium">
        <color theme="5"/>
      </left>
      <right style="medium">
        <color theme="5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/>
      </left>
      <right style="thick">
        <color theme="0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/>
      </left>
      <right style="thick">
        <color theme="0"/>
      </right>
      <top style="thin">
        <color rgb="FF0070C0"/>
      </top>
      <bottom style="thin">
        <color rgb="FF0070C0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n">
        <color rgb="FF00B050"/>
      </top>
      <bottom/>
      <diagonal/>
    </border>
    <border>
      <left style="dashed">
        <color theme="0" tint="-0.24994659260841701"/>
      </left>
      <right style="dashed">
        <color theme="0" tint="-0.24994659260841701"/>
      </right>
      <top style="thin">
        <color indexed="64"/>
      </top>
      <bottom style="thin">
        <color indexed="64"/>
      </bottom>
      <diagonal/>
    </border>
    <border>
      <left style="dashed">
        <color theme="0" tint="-0.24994659260841701"/>
      </left>
      <right style="dashed">
        <color theme="0" tint="-0.24994659260841701"/>
      </right>
      <top/>
      <bottom/>
      <diagonal/>
    </border>
    <border>
      <left style="dashed">
        <color theme="0" tint="-0.24994659260841701"/>
      </left>
      <right style="dashed">
        <color theme="0" tint="-0.24994659260841701"/>
      </right>
      <top style="thin">
        <color theme="0" tint="-0.34998626667073579"/>
      </top>
      <bottom/>
      <diagonal/>
    </border>
    <border>
      <left style="thin">
        <color rgb="FF00B0F0"/>
      </left>
      <right style="thin">
        <color rgb="FF00B0F0"/>
      </right>
      <top/>
      <bottom style="thin">
        <color theme="0" tint="-0.34998626667073579"/>
      </bottom>
      <diagonal/>
    </border>
    <border>
      <left style="thin">
        <color rgb="FFC00000"/>
      </left>
      <right style="thin">
        <color rgb="FFC00000"/>
      </right>
      <top/>
      <bottom style="thin">
        <color theme="0" tint="-0.3499862666707357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theme="5"/>
      </left>
      <right style="medium">
        <color rgb="FFC00000"/>
      </right>
      <top style="medium">
        <color theme="5"/>
      </top>
      <bottom/>
      <diagonal/>
    </border>
    <border>
      <left style="medium">
        <color theme="5"/>
      </left>
      <right style="medium">
        <color rgb="FFC00000"/>
      </right>
      <top/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theme="1"/>
      </bottom>
      <diagonal/>
    </border>
    <border>
      <left/>
      <right style="medium">
        <color theme="5"/>
      </right>
      <top/>
      <bottom style="medium">
        <color indexed="64"/>
      </bottom>
      <diagonal/>
    </border>
    <border>
      <left style="dashed">
        <color theme="0" tint="-0.24994659260841701"/>
      </left>
      <right style="dashed">
        <color theme="0" tint="-0.24994659260841701"/>
      </right>
      <top style="medium">
        <color theme="1"/>
      </top>
      <bottom style="medium">
        <color theme="1"/>
      </bottom>
      <diagonal/>
    </border>
    <border>
      <left style="thick">
        <color theme="0"/>
      </left>
      <right style="thin">
        <color theme="0" tint="-0.34998626667073579"/>
      </right>
      <top style="thin">
        <color rgb="FF0070C0"/>
      </top>
      <bottom style="thin">
        <color rgb="FF0070C0"/>
      </bottom>
      <diagonal/>
    </border>
    <border>
      <left style="dashed">
        <color theme="0" tint="-0.24994659260841701"/>
      </left>
      <right/>
      <top style="medium">
        <color auto="1"/>
      </top>
      <bottom style="thin">
        <color indexed="64"/>
      </bottom>
      <diagonal/>
    </border>
    <border>
      <left style="dashed">
        <color theme="0" tint="-0.24994659260841701"/>
      </left>
      <right style="dashed">
        <color theme="0" tint="-0.24994659260841701"/>
      </right>
      <top style="thin">
        <color theme="3" tint="0.59996337778862885"/>
      </top>
      <bottom/>
      <diagonal/>
    </border>
    <border>
      <left/>
      <right style="dashed">
        <color theme="0" tint="-0.24994659260841701"/>
      </right>
      <top/>
      <bottom/>
      <diagonal/>
    </border>
    <border>
      <left style="dashed">
        <color theme="0" tint="-0.24994659260841701"/>
      </left>
      <right/>
      <top style="thin">
        <color theme="0" tint="-0.34998626667073579"/>
      </top>
      <bottom/>
      <diagonal/>
    </border>
    <border>
      <left style="medium">
        <color theme="5"/>
      </left>
      <right style="medium">
        <color theme="5"/>
      </right>
      <top style="thin">
        <color theme="0" tint="-0.34998626667073579"/>
      </top>
      <bottom/>
      <diagonal/>
    </border>
    <border>
      <left style="dashed">
        <color theme="0" tint="-0.24994659260841701"/>
      </left>
      <right style="dashed">
        <color theme="0" tint="-0.24994659260841701"/>
      </right>
      <top style="medium">
        <color auto="1"/>
      </top>
      <bottom style="thin">
        <color indexed="64"/>
      </bottom>
      <diagonal/>
    </border>
    <border>
      <left/>
      <right style="dashed">
        <color theme="0" tint="-0.24994659260841701"/>
      </right>
      <top style="medium">
        <color auto="1"/>
      </top>
      <bottom style="thin">
        <color indexed="64"/>
      </bottom>
      <diagonal/>
    </border>
    <border>
      <left style="medium">
        <color theme="5"/>
      </left>
      <right style="medium">
        <color theme="5"/>
      </right>
      <top style="medium">
        <color auto="1"/>
      </top>
      <bottom style="thin">
        <color indexed="64"/>
      </bottom>
      <diagonal/>
    </border>
    <border>
      <left style="dashed">
        <color theme="0" tint="-0.24994659260841701"/>
      </left>
      <right style="dashed">
        <color theme="0" tint="-0.24994659260841701"/>
      </right>
      <top style="medium">
        <color auto="1"/>
      </top>
      <bottom style="medium">
        <color theme="1"/>
      </bottom>
      <diagonal/>
    </border>
    <border>
      <left/>
      <right/>
      <top style="thin">
        <color rgb="FFC00000"/>
      </top>
      <bottom/>
      <diagonal/>
    </border>
    <border>
      <left style="dashed">
        <color rgb="FFD2FFFF"/>
      </left>
      <right style="dashed">
        <color rgb="FFD2FFFF"/>
      </right>
      <top style="thin">
        <color rgb="FF9FE6FF"/>
      </top>
      <bottom style="thin">
        <color rgb="FF9FE6FF"/>
      </bottom>
      <diagonal/>
    </border>
    <border>
      <left style="thin">
        <color rgb="FF9FE6FF"/>
      </left>
      <right style="thin">
        <color rgb="FF9FE6FF"/>
      </right>
      <top style="medium">
        <color rgb="FF9FE6FF"/>
      </top>
      <bottom style="medium">
        <color rgb="FF9FE6FF"/>
      </bottom>
      <diagonal/>
    </border>
    <border>
      <left style="medium">
        <color rgb="FF9FE6FF"/>
      </left>
      <right style="medium">
        <color rgb="FF9FE6FF"/>
      </right>
      <top style="medium">
        <color rgb="FF9FE6FF"/>
      </top>
      <bottom style="medium">
        <color rgb="FF9FE6FF"/>
      </bottom>
      <diagonal/>
    </border>
    <border>
      <left style="medium">
        <color rgb="FF9FE6FF"/>
      </left>
      <right style="thin">
        <color rgb="FF9FE6FF"/>
      </right>
      <top style="medium">
        <color rgb="FF9FE6FF"/>
      </top>
      <bottom style="medium">
        <color rgb="FF9FE6FF"/>
      </bottom>
      <diagonal/>
    </border>
    <border>
      <left style="thin">
        <color rgb="FF9FE6FF"/>
      </left>
      <right style="medium">
        <color rgb="FF9FE6FF"/>
      </right>
      <top style="medium">
        <color rgb="FF9FE6FF"/>
      </top>
      <bottom style="medium">
        <color rgb="FF9FE6FF"/>
      </bottom>
      <diagonal/>
    </border>
    <border>
      <left style="medium">
        <color rgb="FF9FE6FF"/>
      </left>
      <right/>
      <top/>
      <bottom/>
      <diagonal/>
    </border>
    <border>
      <left/>
      <right style="medium">
        <color rgb="FF9FE6FF"/>
      </right>
      <top/>
      <bottom/>
      <diagonal/>
    </border>
    <border>
      <left style="medium">
        <color rgb="FF9FE6FF"/>
      </left>
      <right style="dashed">
        <color rgb="FFD2FFFF"/>
      </right>
      <top style="thin">
        <color rgb="FF9FE6FF"/>
      </top>
      <bottom style="thin">
        <color rgb="FF9FE6FF"/>
      </bottom>
      <diagonal/>
    </border>
    <border>
      <left style="dashed">
        <color rgb="FFD2FFFF"/>
      </left>
      <right style="medium">
        <color rgb="FF9FE6FF"/>
      </right>
      <top style="thin">
        <color rgb="FF9FE6FF"/>
      </top>
      <bottom style="thin">
        <color rgb="FF9FE6FF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ck">
        <color theme="0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dashed">
        <color theme="0" tint="-0.24994659260841701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dashed">
        <color theme="0" tint="-0.24994659260841701"/>
      </left>
      <right style="thin">
        <color indexed="64"/>
      </right>
      <top/>
      <bottom style="thin">
        <color theme="0" tint="-0.34998626667073579"/>
      </bottom>
      <diagonal/>
    </border>
    <border>
      <left style="dashed">
        <color theme="0" tint="-0.24994659260841701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dashed">
        <color theme="0" tint="-0.2499465926084170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rgb="FF9FE6FF"/>
      </left>
      <right style="dashed">
        <color rgb="FFD2FFFF"/>
      </right>
      <top style="thin">
        <color rgb="FF9FE6FF"/>
      </top>
      <bottom/>
      <diagonal/>
    </border>
    <border>
      <left style="dashed">
        <color rgb="FFD2FFFF"/>
      </left>
      <right style="dashed">
        <color rgb="FFD2FFFF"/>
      </right>
      <top style="thin">
        <color rgb="FF9FE6FF"/>
      </top>
      <bottom/>
      <diagonal/>
    </border>
    <border>
      <left style="dashed">
        <color rgb="FFD2FFFF"/>
      </left>
      <right style="medium">
        <color rgb="FF9FE6FF"/>
      </right>
      <top style="thin">
        <color rgb="FF9FE6FF"/>
      </top>
      <bottom/>
      <diagonal/>
    </border>
    <border>
      <left style="medium">
        <color rgb="FF9FE6FF"/>
      </left>
      <right style="dashed">
        <color rgb="FFD2FFFF"/>
      </right>
      <top/>
      <bottom style="thin">
        <color rgb="FF9FE6FF"/>
      </bottom>
      <diagonal/>
    </border>
    <border>
      <left style="dashed">
        <color rgb="FFD2FFFF"/>
      </left>
      <right style="dashed">
        <color rgb="FFD2FFFF"/>
      </right>
      <top/>
      <bottom style="thin">
        <color rgb="FF9FE6FF"/>
      </bottom>
      <diagonal/>
    </border>
    <border>
      <left style="dashed">
        <color rgb="FFD2FFFF"/>
      </left>
      <right style="medium">
        <color rgb="FF9FE6FF"/>
      </right>
      <top/>
      <bottom style="thin">
        <color rgb="FF9FE6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9FE6FF"/>
      </right>
      <top style="medium">
        <color rgb="FF9FE6FF"/>
      </top>
      <bottom style="medium">
        <color rgb="FF9FE6FF"/>
      </bottom>
      <diagonal/>
    </border>
    <border>
      <left/>
      <right style="dashed">
        <color rgb="FFD2FFFF"/>
      </right>
      <top style="thin">
        <color rgb="FF9FE6FF"/>
      </top>
      <bottom style="thin">
        <color rgb="FF9FE6FF"/>
      </bottom>
      <diagonal/>
    </border>
    <border>
      <left/>
      <right style="dashed">
        <color rgb="FFD2FFFF"/>
      </right>
      <top style="thin">
        <color rgb="FF9FE6FF"/>
      </top>
      <bottom/>
      <diagonal/>
    </border>
    <border>
      <left/>
      <right style="dashed">
        <color rgb="FFD2FFFF"/>
      </right>
      <top/>
      <bottom style="thin">
        <color rgb="FF9FE6FF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/>
      <top style="thin">
        <color rgb="FFFF8080"/>
      </top>
      <bottom style="thin">
        <color rgb="FFFF8080"/>
      </bottom>
      <diagonal/>
    </border>
    <border>
      <left/>
      <right/>
      <top style="thin">
        <color rgb="FFC00000"/>
      </top>
      <bottom style="medium">
        <color indexed="64"/>
      </bottom>
      <diagonal/>
    </border>
    <border>
      <left/>
      <right/>
      <top/>
      <bottom style="thin">
        <color rgb="FFFF8080"/>
      </bottom>
      <diagonal/>
    </border>
    <border>
      <left/>
      <right/>
      <top/>
      <bottom style="medium">
        <color rgb="FFC00000"/>
      </bottom>
      <diagonal/>
    </border>
    <border>
      <left/>
      <right/>
      <top style="thin">
        <color rgb="FFFF8080"/>
      </top>
      <bottom style="medium">
        <color rgb="FFC0000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dashed">
        <color theme="0" tint="-0.24994659260841701"/>
      </left>
      <right/>
      <top/>
      <bottom/>
      <diagonal/>
    </border>
    <border>
      <left style="medium">
        <color rgb="FF008000"/>
      </left>
      <right style="medium">
        <color rgb="FF008000"/>
      </right>
      <top style="medium">
        <color rgb="FF008000"/>
      </top>
      <bottom/>
      <diagonal/>
    </border>
    <border>
      <left style="medium">
        <color rgb="FF008000"/>
      </left>
      <right style="medium">
        <color rgb="FF008000"/>
      </right>
      <top/>
      <bottom style="medium">
        <color indexed="64"/>
      </bottom>
      <diagonal/>
    </border>
    <border>
      <left style="medium">
        <color rgb="FF008000"/>
      </left>
      <right style="medium">
        <color rgb="FF008000"/>
      </right>
      <top style="thin">
        <color theme="0" tint="-0.34998626667073579"/>
      </top>
      <bottom style="thin">
        <color indexed="64"/>
      </bottom>
      <diagonal/>
    </border>
    <border>
      <left style="medium">
        <color rgb="FF008000"/>
      </left>
      <right style="medium">
        <color rgb="FF008000"/>
      </right>
      <top/>
      <bottom style="thin">
        <color theme="0" tint="-0.34998626667073579"/>
      </bottom>
      <diagonal/>
    </border>
    <border>
      <left style="medium">
        <color rgb="FF008000"/>
      </left>
      <right style="medium">
        <color rgb="FF008000"/>
      </right>
      <top style="medium">
        <color auto="1"/>
      </top>
      <bottom style="thin">
        <color theme="1"/>
      </bottom>
      <diagonal/>
    </border>
    <border>
      <left style="medium">
        <color rgb="FF008000"/>
      </left>
      <right style="medium">
        <color rgb="FF008000"/>
      </right>
      <top/>
      <bottom/>
      <diagonal/>
    </border>
    <border>
      <left style="medium">
        <color rgb="FF008000"/>
      </left>
      <right style="medium">
        <color rgb="FF008000"/>
      </right>
      <top style="medium">
        <color auto="1"/>
      </top>
      <bottom style="thin">
        <color indexed="64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medium">
        <color rgb="FF0000FF"/>
      </bottom>
      <diagonal/>
    </border>
    <border>
      <left style="dashed">
        <color theme="0" tint="-0.24994659260841701"/>
      </left>
      <right style="dashed">
        <color theme="0" tint="-0.24994659260841701"/>
      </right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dashed">
        <color theme="0" tint="-0.24994659260841701"/>
      </left>
      <right style="dashed">
        <color theme="0" tint="-0.24994659260841701"/>
      </right>
      <top/>
      <bottom style="thin">
        <color rgb="FFC00000"/>
      </bottom>
      <diagonal/>
    </border>
    <border>
      <left style="dashed">
        <color theme="0" tint="-0.24994659260841701"/>
      </left>
      <right style="dashed">
        <color theme="0" tint="-0.24994659260841701"/>
      </right>
      <top style="thin">
        <color theme="0" tint="-0.34998626667073579"/>
      </top>
      <bottom style="thin">
        <color rgb="FFC0000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2" tint="-9.9948118533890809E-2"/>
      </top>
      <bottom style="thin">
        <color theme="2" tint="-9.9948118533890809E-2"/>
      </bottom>
      <diagonal/>
    </border>
    <border>
      <left/>
      <right/>
      <top/>
      <bottom style="thin">
        <color theme="2" tint="-9.9948118533890809E-2"/>
      </bottom>
      <diagonal/>
    </border>
    <border>
      <left style="thin">
        <color theme="0" tint="-4.9989318521683403E-2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/>
      <top style="thin">
        <color theme="1" tint="0.499984740745262"/>
      </top>
      <bottom style="thin">
        <color theme="2" tint="-9.9948118533890809E-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0" tint="-4.9989318521683403E-2"/>
      </left>
      <right/>
      <top style="thin">
        <color theme="1" tint="0.499984740745262"/>
      </top>
      <bottom style="thin">
        <color theme="2" tint="-9.9948118533890809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2" tint="-9.9948118533890809E-2"/>
      </bottom>
      <diagonal/>
    </border>
    <border>
      <left style="thin">
        <color theme="0" tint="-4.9989318521683403E-2"/>
      </left>
      <right/>
      <top/>
      <bottom/>
      <diagonal/>
    </border>
    <border>
      <left/>
      <right/>
      <top/>
      <bottom style="thin">
        <color rgb="FF0000FF"/>
      </bottom>
      <diagonal/>
    </border>
    <border>
      <left style="medium">
        <color rgb="FF0000FF"/>
      </left>
      <right/>
      <top/>
      <bottom style="thin">
        <color rgb="FF0000FF"/>
      </bottom>
      <diagonal/>
    </border>
    <border>
      <left style="thin">
        <color theme="0" tint="-4.9989318521683403E-2"/>
      </left>
      <right/>
      <top style="thin">
        <color theme="2" tint="-9.9948118533890809E-2"/>
      </top>
      <bottom style="thin">
        <color theme="1" tint="0.49998474074526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2" tint="-9.9948118533890809E-2"/>
      </top>
      <bottom/>
      <diagonal/>
    </border>
    <border>
      <left style="medium">
        <color rgb="FF0000FF"/>
      </left>
      <right/>
      <top/>
      <bottom/>
      <diagonal/>
    </border>
    <border>
      <left/>
      <right/>
      <top style="thin">
        <color rgb="FF0000FF"/>
      </top>
      <bottom style="thin">
        <color theme="2" tint="-9.9948118533890809E-2"/>
      </bottom>
      <diagonal/>
    </border>
    <border>
      <left style="medium">
        <color rgb="FF0000FF"/>
      </left>
      <right/>
      <top style="thin">
        <color rgb="FF0000FF"/>
      </top>
      <bottom/>
      <diagonal/>
    </border>
    <border>
      <left/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 style="thin">
        <color rgb="FF0000FF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/>
      <top/>
      <bottom style="thin">
        <color theme="0"/>
      </bottom>
      <diagonal/>
    </border>
    <border>
      <left style="dashed">
        <color theme="0" tint="-0.24994659260841701"/>
      </left>
      <right style="dashed">
        <color theme="0" tint="-0.24994659260841701"/>
      </right>
      <top/>
      <bottom style="medium">
        <color indexed="64"/>
      </bottom>
      <diagonal/>
    </border>
    <border>
      <left style="dashed">
        <color theme="0" tint="-0.24994659260841701"/>
      </left>
      <right style="dashed">
        <color theme="0" tint="-0.24994659260841701"/>
      </right>
      <top style="thin">
        <color theme="0" tint="-0.34998626667073579"/>
      </top>
      <bottom style="medium">
        <color indexed="64"/>
      </bottom>
      <diagonal/>
    </border>
    <border>
      <left style="dashed">
        <color theme="0" tint="-0.24994659260841701"/>
      </left>
      <right style="dashed">
        <color theme="0" tint="-0.24994659260841701"/>
      </right>
      <top style="thin">
        <color theme="3" tint="0.59996337778862885"/>
      </top>
      <bottom style="medium">
        <color indexed="64"/>
      </bottom>
      <diagonal/>
    </border>
    <border>
      <left style="dashed">
        <color theme="0" tint="-0.24994659260841701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theme="5"/>
      </left>
      <right style="medium">
        <color theme="5"/>
      </right>
      <top style="thin">
        <color theme="0" tint="-0.34998626667073579"/>
      </top>
      <bottom style="medium">
        <color indexed="64"/>
      </bottom>
      <diagonal/>
    </border>
    <border>
      <left style="dashed">
        <color theme="0" tint="-0.24994659260841701"/>
      </left>
      <right style="dashed">
        <color theme="0" tint="-0.24994659260841701"/>
      </right>
      <top style="thin">
        <color theme="0" tint="-0.34998626667073579"/>
      </top>
      <bottom style="medium">
        <color rgb="FFC00000"/>
      </bottom>
      <diagonal/>
    </border>
    <border>
      <left style="medium">
        <color rgb="FF008000"/>
      </left>
      <right style="medium">
        <color rgb="FF008000"/>
      </right>
      <top style="thin">
        <color theme="0" tint="-0.34998626667073579"/>
      </top>
      <bottom style="medium">
        <color indexed="64"/>
      </bottom>
      <diagonal/>
    </border>
    <border>
      <left/>
      <right style="dashed">
        <color theme="0" tint="-0.24994659260841701"/>
      </right>
      <top style="thin">
        <color theme="0" tint="-0.34998626667073579"/>
      </top>
      <bottom style="medium">
        <color indexed="64"/>
      </bottom>
      <diagonal/>
    </border>
    <border>
      <left style="dashed">
        <color theme="0" tint="-0.24994659260841701"/>
      </left>
      <right style="dashed">
        <color theme="0" tint="-0.24994659260841701"/>
      </right>
      <top style="medium">
        <color indexed="64"/>
      </top>
      <bottom style="thin">
        <color theme="0" tint="-0.34998626667073579"/>
      </bottom>
      <diagonal/>
    </border>
    <border>
      <left style="dashed">
        <color theme="0" tint="-0.24994659260841701"/>
      </left>
      <right style="dashed">
        <color theme="0" tint="-0.24994659260841701"/>
      </right>
      <top style="medium">
        <color indexed="64"/>
      </top>
      <bottom style="medium">
        <color rgb="FFC00000"/>
      </bottom>
      <diagonal/>
    </border>
    <border>
      <left style="dashed">
        <color theme="0" tint="-0.24994659260841701"/>
      </left>
      <right style="dashed">
        <color theme="0" tint="-0.24994659260841701"/>
      </right>
      <top style="medium">
        <color rgb="FFC00000"/>
      </top>
      <bottom style="thin">
        <color theme="0" tint="-0.34998626667073579"/>
      </bottom>
      <diagonal/>
    </border>
    <border>
      <left/>
      <right/>
      <top/>
      <bottom style="thin">
        <color rgb="FFFF0000"/>
      </bottom>
      <diagonal/>
    </border>
    <border>
      <left style="dashed">
        <color theme="0" tint="-0.24994659260841701"/>
      </left>
      <right/>
      <top/>
      <bottom style="thin">
        <color indexed="64"/>
      </bottom>
      <diagonal/>
    </border>
    <border>
      <left style="medium">
        <color rgb="FF008000"/>
      </left>
      <right style="medium">
        <color rgb="FF008000"/>
      </right>
      <top/>
      <bottom style="thin">
        <color indexed="64"/>
      </bottom>
      <diagonal/>
    </border>
    <border>
      <left/>
      <right style="dashed">
        <color theme="0" tint="-0.24994659260841701"/>
      </right>
      <top/>
      <bottom style="thin">
        <color indexed="64"/>
      </bottom>
      <diagonal/>
    </border>
    <border>
      <left style="medium">
        <color theme="9"/>
      </left>
      <right/>
      <top style="medium">
        <color theme="9"/>
      </top>
      <bottom/>
      <diagonal/>
    </border>
    <border>
      <left/>
      <right/>
      <top style="medium">
        <color theme="9"/>
      </top>
      <bottom/>
      <diagonal/>
    </border>
    <border>
      <left/>
      <right style="medium">
        <color theme="9"/>
      </right>
      <top style="medium">
        <color theme="9"/>
      </top>
      <bottom/>
      <diagonal/>
    </border>
    <border>
      <left style="medium">
        <color theme="9"/>
      </left>
      <right/>
      <top/>
      <bottom/>
      <diagonal/>
    </border>
    <border>
      <left/>
      <right style="medium">
        <color theme="9"/>
      </right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1" tint="0.499984740745262"/>
      </bottom>
      <diagonal/>
    </border>
    <border>
      <left style="thin">
        <color theme="0" tint="-0.14996795556505021"/>
      </left>
      <right style="thin">
        <color indexed="64"/>
      </right>
      <top style="medium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0" tint="-0.14996795556505021"/>
      </right>
      <top style="medium">
        <color indexed="64"/>
      </top>
      <bottom style="thin">
        <color theme="1" tint="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thin">
        <color rgb="FF000000"/>
      </right>
      <top style="thin">
        <color theme="1" tint="0.499984740745262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theme="1" tint="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rgb="FF000000"/>
      </right>
      <top style="medium">
        <color indexed="64"/>
      </top>
      <bottom style="thin">
        <color theme="1" tint="0.499984740745262"/>
      </bottom>
      <diagonal/>
    </border>
    <border>
      <left style="thin">
        <color rgb="FF000000"/>
      </left>
      <right style="thin">
        <color theme="1" tint="0.499984740745262"/>
      </right>
      <top style="medium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theme="1" tint="0.499984740745262"/>
      </right>
      <top/>
      <bottom style="medium">
        <color indexed="64"/>
      </bottom>
      <diagonal/>
    </border>
    <border>
      <left style="thin">
        <color theme="1" tint="0.499984740745262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rgb="FF000000"/>
      </right>
      <top/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rgb="FF000000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000000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theme="9"/>
      </left>
      <right/>
      <top/>
      <bottom style="medium">
        <color theme="9"/>
      </bottom>
      <diagonal/>
    </border>
    <border>
      <left/>
      <right/>
      <top/>
      <bottom style="medium">
        <color theme="9"/>
      </bottom>
      <diagonal/>
    </border>
    <border>
      <left/>
      <right style="medium">
        <color theme="9"/>
      </right>
      <top/>
      <bottom style="medium">
        <color theme="9"/>
      </bottom>
      <diagonal/>
    </border>
    <border>
      <left/>
      <right/>
      <top style="thin">
        <color rgb="FFFF8080"/>
      </top>
      <bottom style="medium">
        <color indexed="64"/>
      </bottom>
      <diagonal/>
    </border>
  </borders>
  <cellStyleXfs count="8">
    <xf numFmtId="0" fontId="0" fillId="0" borderId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8" fillId="0" borderId="0">
      <alignment vertical="top"/>
    </xf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</cellStyleXfs>
  <cellXfs count="733">
    <xf numFmtId="0" fontId="0" fillId="0" borderId="0" xfId="0"/>
    <xf numFmtId="0" fontId="7" fillId="0" borderId="0" xfId="1" applyFont="1"/>
    <xf numFmtId="0" fontId="7" fillId="0" borderId="0" xfId="1" applyFont="1" applyAlignment="1">
      <alignment wrapText="1"/>
    </xf>
    <xf numFmtId="0" fontId="8" fillId="0" borderId="0" xfId="1" applyFont="1"/>
    <xf numFmtId="0" fontId="11" fillId="0" borderId="0" xfId="1" applyFont="1"/>
    <xf numFmtId="0" fontId="11" fillId="0" borderId="0" xfId="1" applyFont="1" applyAlignment="1">
      <alignment wrapText="1"/>
    </xf>
    <xf numFmtId="0" fontId="8" fillId="0" borderId="1" xfId="1" applyFont="1" applyBorder="1"/>
    <xf numFmtId="0" fontId="12" fillId="2" borderId="7" xfId="1" quotePrefix="1" applyFont="1" applyFill="1" applyBorder="1" applyAlignment="1">
      <alignment horizontal="center" vertical="center" wrapText="1"/>
    </xf>
    <xf numFmtId="0" fontId="12" fillId="2" borderId="8" xfId="1" quotePrefix="1" applyFont="1" applyFill="1" applyBorder="1" applyAlignment="1">
      <alignment horizontal="center" vertical="center" wrapText="1"/>
    </xf>
    <xf numFmtId="0" fontId="12" fillId="2" borderId="6" xfId="1" quotePrefix="1" applyFont="1" applyFill="1" applyBorder="1" applyAlignment="1">
      <alignment horizontal="center" vertical="center" wrapText="1"/>
    </xf>
    <xf numFmtId="0" fontId="12" fillId="2" borderId="9" xfId="1" quotePrefix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9" fillId="0" borderId="5" xfId="1" applyFont="1" applyBorder="1"/>
    <xf numFmtId="0" fontId="15" fillId="3" borderId="2" xfId="1" applyFont="1" applyFill="1" applyBorder="1" applyAlignment="1">
      <alignment horizontal="left" wrapText="1"/>
    </xf>
    <xf numFmtId="0" fontId="15" fillId="3" borderId="4" xfId="1" applyFont="1" applyFill="1" applyBorder="1" applyAlignment="1">
      <alignment horizontal="left" wrapText="1"/>
    </xf>
    <xf numFmtId="0" fontId="15" fillId="0" borderId="3" xfId="1" applyFont="1" applyBorder="1" applyAlignment="1">
      <alignment horizontal="left" wrapText="1"/>
    </xf>
    <xf numFmtId="0" fontId="15" fillId="0" borderId="2" xfId="1" applyFont="1" applyBorder="1" applyAlignment="1">
      <alignment horizontal="left" wrapText="1"/>
    </xf>
    <xf numFmtId="0" fontId="15" fillId="0" borderId="4" xfId="1" applyFont="1" applyBorder="1" applyAlignment="1">
      <alignment horizontal="left" wrapText="1"/>
    </xf>
    <xf numFmtId="0" fontId="7" fillId="0" borderId="0" xfId="1" applyFont="1" applyAlignment="1">
      <alignment horizontal="center"/>
    </xf>
    <xf numFmtId="0" fontId="14" fillId="0" borderId="10" xfId="0" applyFont="1" applyBorder="1" applyAlignment="1">
      <alignment horizontal="right"/>
    </xf>
    <xf numFmtId="0" fontId="0" fillId="0" borderId="0" xfId="0" applyAlignment="1">
      <alignment horizontal="left" indent="2"/>
    </xf>
    <xf numFmtId="0" fontId="9" fillId="0" borderId="5" xfId="1" applyFont="1" applyBorder="1" applyAlignment="1">
      <alignment horizontal="right" indent="1"/>
    </xf>
    <xf numFmtId="0" fontId="10" fillId="0" borderId="5" xfId="1" applyFont="1" applyBorder="1" applyAlignment="1">
      <alignment horizontal="left" vertical="center" indent="1"/>
    </xf>
    <xf numFmtId="0" fontId="19" fillId="0" borderId="10" xfId="0" applyFont="1" applyBorder="1" applyAlignment="1">
      <alignment horizontal="left" indent="2"/>
    </xf>
    <xf numFmtId="37" fontId="17" fillId="0" borderId="10" xfId="2" applyNumberFormat="1" applyFont="1" applyFill="1" applyBorder="1"/>
    <xf numFmtId="0" fontId="8" fillId="0" borderId="0" xfId="1" applyFont="1" applyAlignment="1">
      <alignment horizontal="left" wrapText="1"/>
    </xf>
    <xf numFmtId="41" fontId="6" fillId="0" borderId="5" xfId="1" applyNumberFormat="1" applyFont="1" applyBorder="1" applyAlignment="1">
      <alignment horizontal="right" indent="1"/>
    </xf>
    <xf numFmtId="0" fontId="7" fillId="0" borderId="12" xfId="1" applyFont="1" applyBorder="1"/>
    <xf numFmtId="41" fontId="22" fillId="7" borderId="13" xfId="1" applyNumberFormat="1" applyFont="1" applyFill="1" applyBorder="1" applyAlignment="1">
      <alignment horizontal="right" indent="2"/>
    </xf>
    <xf numFmtId="9" fontId="22" fillId="7" borderId="13" xfId="3" applyFont="1" applyFill="1" applyBorder="1" applyAlignment="1">
      <alignment horizontal="right" indent="2"/>
    </xf>
    <xf numFmtId="9" fontId="22" fillId="7" borderId="5" xfId="3" applyFont="1" applyFill="1" applyBorder="1" applyAlignment="1">
      <alignment horizontal="right" indent="2"/>
    </xf>
    <xf numFmtId="41" fontId="22" fillId="7" borderId="16" xfId="1" applyNumberFormat="1" applyFont="1" applyFill="1" applyBorder="1" applyAlignment="1">
      <alignment horizontal="right" indent="2"/>
    </xf>
    <xf numFmtId="0" fontId="9" fillId="0" borderId="13" xfId="1" applyFont="1" applyBorder="1" applyAlignment="1">
      <alignment horizontal="right" indent="1"/>
    </xf>
    <xf numFmtId="0" fontId="9" fillId="0" borderId="13" xfId="1" applyFont="1" applyBorder="1"/>
    <xf numFmtId="0" fontId="10" fillId="0" borderId="13" xfId="1" applyFont="1" applyBorder="1" applyAlignment="1">
      <alignment horizontal="left" vertical="center" indent="1"/>
    </xf>
    <xf numFmtId="41" fontId="22" fillId="7" borderId="18" xfId="1" applyNumberFormat="1" applyFont="1" applyFill="1" applyBorder="1" applyAlignment="1">
      <alignment horizontal="right" indent="2"/>
    </xf>
    <xf numFmtId="41" fontId="6" fillId="0" borderId="13" xfId="1" applyNumberFormat="1" applyFont="1" applyBorder="1" applyAlignment="1">
      <alignment horizontal="right" indent="1"/>
    </xf>
    <xf numFmtId="0" fontId="9" fillId="0" borderId="19" xfId="1" applyFont="1" applyBorder="1" applyAlignment="1">
      <alignment horizontal="right" indent="1"/>
    </xf>
    <xf numFmtId="0" fontId="9" fillId="0" borderId="19" xfId="1" applyFont="1" applyBorder="1"/>
    <xf numFmtId="0" fontId="10" fillId="0" borderId="19" xfId="1" applyFont="1" applyBorder="1" applyAlignment="1">
      <alignment horizontal="left" vertical="center" indent="1"/>
    </xf>
    <xf numFmtId="41" fontId="9" fillId="0" borderId="19" xfId="1" applyNumberFormat="1" applyFont="1" applyBorder="1" applyAlignment="1">
      <alignment horizontal="right" indent="1"/>
    </xf>
    <xf numFmtId="41" fontId="6" fillId="0" borderId="17" xfId="1" applyNumberFormat="1" applyFont="1" applyBorder="1" applyAlignment="1">
      <alignment horizontal="right" indent="2"/>
    </xf>
    <xf numFmtId="41" fontId="6" fillId="0" borderId="19" xfId="1" applyNumberFormat="1" applyFont="1" applyBorder="1" applyAlignment="1">
      <alignment horizontal="right" indent="1"/>
    </xf>
    <xf numFmtId="41" fontId="23" fillId="0" borderId="19" xfId="1" applyNumberFormat="1" applyFont="1" applyBorder="1" applyAlignment="1">
      <alignment horizontal="right" indent="1"/>
    </xf>
    <xf numFmtId="37" fontId="6" fillId="0" borderId="19" xfId="1" applyNumberFormat="1" applyFont="1" applyBorder="1" applyAlignment="1">
      <alignment horizontal="right" indent="1"/>
    </xf>
    <xf numFmtId="41" fontId="22" fillId="0" borderId="17" xfId="1" applyNumberFormat="1" applyFont="1" applyBorder="1" applyAlignment="1">
      <alignment horizontal="right" indent="2"/>
    </xf>
    <xf numFmtId="41" fontId="22" fillId="0" borderId="20" xfId="1" applyNumberFormat="1" applyFont="1" applyBorder="1" applyAlignment="1">
      <alignment horizontal="right" indent="2"/>
    </xf>
    <xf numFmtId="9" fontId="22" fillId="0" borderId="17" xfId="3" applyFont="1" applyFill="1" applyBorder="1" applyAlignment="1">
      <alignment horizontal="right" indent="2"/>
    </xf>
    <xf numFmtId="41" fontId="6" fillId="4" borderId="13" xfId="1" applyNumberFormat="1" applyFont="1" applyFill="1" applyBorder="1" applyAlignment="1">
      <alignment horizontal="right" indent="2"/>
    </xf>
    <xf numFmtId="0" fontId="18" fillId="0" borderId="0" xfId="1" applyFont="1"/>
    <xf numFmtId="0" fontId="31" fillId="0" borderId="0" xfId="1" applyFont="1" applyAlignment="1">
      <alignment wrapText="1"/>
    </xf>
    <xf numFmtId="0" fontId="27" fillId="0" borderId="14" xfId="1" applyFont="1" applyBorder="1" applyAlignment="1">
      <alignment horizontal="right" wrapText="1"/>
    </xf>
    <xf numFmtId="41" fontId="28" fillId="0" borderId="17" xfId="1" applyNumberFormat="1" applyFont="1" applyBorder="1" applyAlignment="1">
      <alignment horizontal="right" indent="2"/>
    </xf>
    <xf numFmtId="41" fontId="28" fillId="0" borderId="5" xfId="1" applyNumberFormat="1" applyFont="1" applyBorder="1" applyAlignment="1">
      <alignment horizontal="right" indent="1"/>
    </xf>
    <xf numFmtId="0" fontId="26" fillId="0" borderId="21" xfId="1" quotePrefix="1" applyFont="1" applyBorder="1" applyAlignment="1">
      <alignment horizontal="center" vertical="center" wrapText="1"/>
    </xf>
    <xf numFmtId="0" fontId="13" fillId="4" borderId="22" xfId="1" applyFill="1" applyBorder="1" applyAlignment="1">
      <alignment horizontal="center" wrapText="1"/>
    </xf>
    <xf numFmtId="0" fontId="26" fillId="8" borderId="23" xfId="1" quotePrefix="1" applyFont="1" applyFill="1" applyBorder="1" applyAlignment="1">
      <alignment horizontal="center" vertical="center" wrapText="1"/>
    </xf>
    <xf numFmtId="0" fontId="13" fillId="4" borderId="24" xfId="1" applyFill="1" applyBorder="1" applyAlignment="1">
      <alignment horizontal="center" wrapText="1"/>
    </xf>
    <xf numFmtId="0" fontId="26" fillId="8" borderId="25" xfId="1" quotePrefix="1" applyFont="1" applyFill="1" applyBorder="1" applyAlignment="1">
      <alignment horizontal="center" vertical="center" wrapText="1"/>
    </xf>
    <xf numFmtId="41" fontId="6" fillId="0" borderId="26" xfId="1" applyNumberFormat="1" applyFont="1" applyBorder="1" applyAlignment="1">
      <alignment horizontal="right" indent="1"/>
    </xf>
    <xf numFmtId="41" fontId="6" fillId="0" borderId="27" xfId="1" applyNumberFormat="1" applyFont="1" applyBorder="1" applyAlignment="1">
      <alignment horizontal="right" indent="1"/>
    </xf>
    <xf numFmtId="0" fontId="13" fillId="4" borderId="28" xfId="1" applyFill="1" applyBorder="1" applyAlignment="1">
      <alignment horizontal="center" wrapText="1"/>
    </xf>
    <xf numFmtId="0" fontId="26" fillId="8" borderId="29" xfId="1" quotePrefix="1" applyFont="1" applyFill="1" applyBorder="1" applyAlignment="1">
      <alignment horizontal="center" vertical="center" wrapText="1"/>
    </xf>
    <xf numFmtId="41" fontId="6" fillId="0" borderId="30" xfId="1" applyNumberFormat="1" applyFont="1" applyBorder="1" applyAlignment="1">
      <alignment horizontal="right" indent="1"/>
    </xf>
    <xf numFmtId="0" fontId="33" fillId="9" borderId="33" xfId="1" applyFont="1" applyFill="1" applyBorder="1" applyAlignment="1">
      <alignment horizontal="center" vertical="center" wrapText="1"/>
    </xf>
    <xf numFmtId="41" fontId="9" fillId="0" borderId="30" xfId="1" applyNumberFormat="1" applyFont="1" applyBorder="1"/>
    <xf numFmtId="41" fontId="9" fillId="0" borderId="31" xfId="1" applyNumberFormat="1" applyFont="1" applyBorder="1"/>
    <xf numFmtId="41" fontId="9" fillId="0" borderId="32" xfId="1" applyNumberFormat="1" applyFont="1" applyBorder="1"/>
    <xf numFmtId="41" fontId="21" fillId="0" borderId="35" xfId="1" applyNumberFormat="1" applyFont="1" applyBorder="1" applyAlignment="1">
      <alignment horizontal="right" indent="1"/>
    </xf>
    <xf numFmtId="0" fontId="32" fillId="0" borderId="34" xfId="1" applyFont="1" applyBorder="1" applyAlignment="1">
      <alignment horizontal="center" wrapText="1"/>
    </xf>
    <xf numFmtId="0" fontId="29" fillId="11" borderId="14" xfId="1" applyFont="1" applyFill="1" applyBorder="1" applyAlignment="1">
      <alignment horizontal="right" wrapText="1"/>
    </xf>
    <xf numFmtId="0" fontId="30" fillId="11" borderId="15" xfId="1" quotePrefix="1" applyFont="1" applyFill="1" applyBorder="1" applyAlignment="1">
      <alignment horizontal="center" vertical="center" wrapText="1"/>
    </xf>
    <xf numFmtId="0" fontId="29" fillId="11" borderId="38" xfId="1" applyFont="1" applyFill="1" applyBorder="1" applyAlignment="1">
      <alignment horizontal="right" wrapText="1"/>
    </xf>
    <xf numFmtId="0" fontId="30" fillId="11" borderId="39" xfId="1" quotePrefix="1" applyFont="1" applyFill="1" applyBorder="1" applyAlignment="1">
      <alignment horizontal="center" vertical="center" wrapText="1"/>
    </xf>
    <xf numFmtId="41" fontId="34" fillId="7" borderId="13" xfId="1" applyNumberFormat="1" applyFont="1" applyFill="1" applyBorder="1" applyAlignment="1">
      <alignment horizontal="left"/>
    </xf>
    <xf numFmtId="41" fontId="9" fillId="0" borderId="13" xfId="1" applyNumberFormat="1" applyFont="1" applyBorder="1" applyAlignment="1">
      <alignment horizontal="center"/>
    </xf>
    <xf numFmtId="41" fontId="9" fillId="0" borderId="5" xfId="1" applyNumberFormat="1" applyFont="1" applyBorder="1" applyAlignment="1">
      <alignment horizontal="center"/>
    </xf>
    <xf numFmtId="41" fontId="35" fillId="0" borderId="13" xfId="1" applyNumberFormat="1" applyFont="1" applyBorder="1" applyAlignment="1">
      <alignment horizontal="right" indent="2"/>
    </xf>
    <xf numFmtId="41" fontId="35" fillId="0" borderId="5" xfId="1" applyNumberFormat="1" applyFont="1" applyBorder="1" applyAlignment="1">
      <alignment horizontal="right" indent="2"/>
    </xf>
    <xf numFmtId="9" fontId="35" fillId="0" borderId="13" xfId="3" applyFont="1" applyFill="1" applyBorder="1" applyAlignment="1">
      <alignment horizontal="right" indent="2"/>
    </xf>
    <xf numFmtId="0" fontId="27" fillId="12" borderId="41" xfId="1" applyFont="1" applyFill="1" applyBorder="1" applyAlignment="1">
      <alignment horizontal="right" wrapText="1"/>
    </xf>
    <xf numFmtId="0" fontId="26" fillId="12" borderId="40" xfId="1" quotePrefix="1" applyFont="1" applyFill="1" applyBorder="1" applyAlignment="1">
      <alignment horizontal="center" vertical="center" wrapText="1"/>
    </xf>
    <xf numFmtId="0" fontId="28" fillId="12" borderId="13" xfId="1" applyFont="1" applyFill="1" applyBorder="1" applyAlignment="1">
      <alignment horizontal="left" indent="3"/>
    </xf>
    <xf numFmtId="9" fontId="22" fillId="7" borderId="18" xfId="3" applyFont="1" applyFill="1" applyBorder="1" applyAlignment="1">
      <alignment horizontal="right" indent="2"/>
    </xf>
    <xf numFmtId="41" fontId="28" fillId="0" borderId="13" xfId="1" applyNumberFormat="1" applyFont="1" applyBorder="1" applyAlignment="1">
      <alignment horizontal="right" indent="1"/>
    </xf>
    <xf numFmtId="0" fontId="27" fillId="0" borderId="38" xfId="1" applyFont="1" applyBorder="1" applyAlignment="1">
      <alignment horizontal="right" wrapText="1"/>
    </xf>
    <xf numFmtId="0" fontId="26" fillId="0" borderId="40" xfId="1" quotePrefix="1" applyFont="1" applyBorder="1" applyAlignment="1">
      <alignment horizontal="center" vertical="center" wrapText="1"/>
    </xf>
    <xf numFmtId="41" fontId="22" fillId="7" borderId="43" xfId="1" applyNumberFormat="1" applyFont="1" applyFill="1" applyBorder="1" applyAlignment="1">
      <alignment horizontal="right" indent="2"/>
    </xf>
    <xf numFmtId="41" fontId="6" fillId="4" borderId="43" xfId="1" applyNumberFormat="1" applyFont="1" applyFill="1" applyBorder="1" applyAlignment="1">
      <alignment horizontal="right" indent="2"/>
    </xf>
    <xf numFmtId="41" fontId="6" fillId="0" borderId="44" xfId="1" applyNumberFormat="1" applyFont="1" applyBorder="1" applyAlignment="1">
      <alignment horizontal="right" indent="1"/>
    </xf>
    <xf numFmtId="9" fontId="22" fillId="7" borderId="44" xfId="3" applyFont="1" applyFill="1" applyBorder="1" applyAlignment="1">
      <alignment horizontal="right" indent="2"/>
    </xf>
    <xf numFmtId="41" fontId="6" fillId="0" borderId="43" xfId="1" applyNumberFormat="1" applyFont="1" applyBorder="1" applyAlignment="1">
      <alignment horizontal="right" indent="1"/>
    </xf>
    <xf numFmtId="0" fontId="5" fillId="0" borderId="0" xfId="1" applyFont="1"/>
    <xf numFmtId="0" fontId="9" fillId="0" borderId="0" xfId="1" applyFont="1" applyAlignment="1">
      <alignment horizontal="center" vertical="top"/>
    </xf>
    <xf numFmtId="0" fontId="5" fillId="0" borderId="13" xfId="1" applyFont="1" applyBorder="1"/>
    <xf numFmtId="0" fontId="10" fillId="0" borderId="13" xfId="1" applyFont="1" applyBorder="1" applyAlignment="1">
      <alignment horizontal="left" indent="1"/>
    </xf>
    <xf numFmtId="41" fontId="5" fillId="0" borderId="13" xfId="1" applyNumberFormat="1" applyFont="1" applyBorder="1" applyAlignment="1">
      <alignment horizontal="right" indent="1"/>
    </xf>
    <xf numFmtId="41" fontId="5" fillId="0" borderId="31" xfId="1" applyNumberFormat="1" applyFont="1" applyBorder="1" applyAlignment="1">
      <alignment horizontal="right" indent="1"/>
    </xf>
    <xf numFmtId="41" fontId="36" fillId="16" borderId="45" xfId="1" applyNumberFormat="1" applyFont="1" applyFill="1" applyBorder="1" applyAlignment="1">
      <alignment horizontal="right" indent="1"/>
    </xf>
    <xf numFmtId="41" fontId="5" fillId="0" borderId="27" xfId="1" applyNumberFormat="1" applyFont="1" applyBorder="1" applyAlignment="1">
      <alignment horizontal="right" indent="1"/>
    </xf>
    <xf numFmtId="41" fontId="5" fillId="0" borderId="31" xfId="1" applyNumberFormat="1" applyFont="1" applyBorder="1"/>
    <xf numFmtId="41" fontId="37" fillId="5" borderId="46" xfId="1" applyNumberFormat="1" applyFont="1" applyFill="1" applyBorder="1" applyAlignment="1">
      <alignment horizontal="right" indent="1"/>
    </xf>
    <xf numFmtId="0" fontId="12" fillId="2" borderId="1" xfId="1" quotePrefix="1" applyFont="1" applyFill="1" applyBorder="1" applyAlignment="1">
      <alignment horizontal="center" vertical="center" wrapText="1"/>
    </xf>
    <xf numFmtId="0" fontId="7" fillId="0" borderId="1" xfId="1" applyFont="1" applyBorder="1"/>
    <xf numFmtId="0" fontId="12" fillId="2" borderId="47" xfId="1" quotePrefix="1" applyFont="1" applyFill="1" applyBorder="1" applyAlignment="1">
      <alignment horizontal="center" vertical="center" wrapText="1"/>
    </xf>
    <xf numFmtId="0" fontId="16" fillId="10" borderId="48" xfId="1" applyFont="1" applyFill="1" applyBorder="1" applyAlignment="1">
      <alignment horizontal="center" vertical="center" wrapText="1"/>
    </xf>
    <xf numFmtId="0" fontId="32" fillId="0" borderId="49" xfId="1" applyFont="1" applyBorder="1" applyAlignment="1">
      <alignment horizontal="center" wrapText="1"/>
    </xf>
    <xf numFmtId="0" fontId="11" fillId="0" borderId="50" xfId="1" quotePrefix="1" applyFont="1" applyBorder="1" applyAlignment="1">
      <alignment horizontal="center"/>
    </xf>
    <xf numFmtId="0" fontId="7" fillId="0" borderId="50" xfId="1" applyFont="1" applyBorder="1" applyAlignment="1">
      <alignment horizontal="center"/>
    </xf>
    <xf numFmtId="0" fontId="24" fillId="0" borderId="0" xfId="1" applyFont="1" applyAlignment="1">
      <alignment horizontal="center"/>
    </xf>
    <xf numFmtId="41" fontId="24" fillId="0" borderId="0" xfId="1" applyNumberFormat="1" applyFont="1" applyAlignment="1">
      <alignment horizontal="center"/>
    </xf>
    <xf numFmtId="2" fontId="35" fillId="0" borderId="13" xfId="2" applyNumberFormat="1" applyFont="1" applyFill="1" applyBorder="1" applyAlignment="1">
      <alignment horizontal="right" indent="3"/>
    </xf>
    <xf numFmtId="2" fontId="35" fillId="0" borderId="5" xfId="2" applyNumberFormat="1" applyFont="1" applyFill="1" applyBorder="1" applyAlignment="1">
      <alignment horizontal="right" indent="3"/>
    </xf>
    <xf numFmtId="0" fontId="39" fillId="0" borderId="0" xfId="1" applyFont="1" applyAlignment="1">
      <alignment horizontal="center"/>
    </xf>
    <xf numFmtId="0" fontId="39" fillId="0" borderId="0" xfId="1" applyFont="1"/>
    <xf numFmtId="0" fontId="40" fillId="0" borderId="0" xfId="1" applyFont="1" applyAlignment="1">
      <alignment horizontal="center"/>
    </xf>
    <xf numFmtId="0" fontId="15" fillId="0" borderId="0" xfId="1" applyFont="1" applyAlignment="1">
      <alignment horizontal="right" indent="1"/>
    </xf>
    <xf numFmtId="0" fontId="25" fillId="0" borderId="1" xfId="1" applyFont="1" applyBorder="1"/>
    <xf numFmtId="0" fontId="27" fillId="0" borderId="0" xfId="0" applyFont="1" applyAlignment="1">
      <alignment horizontal="right" indent="1"/>
    </xf>
    <xf numFmtId="0" fontId="41" fillId="0" borderId="0" xfId="0" applyFont="1"/>
    <xf numFmtId="0" fontId="42" fillId="0" borderId="0" xfId="0" applyFont="1"/>
    <xf numFmtId="0" fontId="11" fillId="0" borderId="51" xfId="1" quotePrefix="1" applyFont="1" applyBorder="1" applyAlignment="1">
      <alignment horizontal="center"/>
    </xf>
    <xf numFmtId="0" fontId="11" fillId="0" borderId="0" xfId="1" quotePrefix="1" applyFont="1" applyAlignment="1">
      <alignment horizontal="center"/>
    </xf>
    <xf numFmtId="0" fontId="7" fillId="0" borderId="52" xfId="1" applyFont="1" applyBorder="1"/>
    <xf numFmtId="0" fontId="43" fillId="17" borderId="0" xfId="0" applyFont="1" applyFill="1"/>
    <xf numFmtId="0" fontId="43" fillId="17" borderId="0" xfId="0" applyFont="1" applyFill="1" applyAlignment="1">
      <alignment horizontal="center"/>
    </xf>
    <xf numFmtId="0" fontId="45" fillId="0" borderId="1" xfId="1" applyFont="1" applyBorder="1" applyAlignment="1">
      <alignment horizontal="left"/>
    </xf>
    <xf numFmtId="0" fontId="44" fillId="0" borderId="0" xfId="0" applyFont="1"/>
    <xf numFmtId="0" fontId="44" fillId="0" borderId="0" xfId="0" applyFont="1" applyAlignment="1">
      <alignment horizontal="left"/>
    </xf>
    <xf numFmtId="0" fontId="0" fillId="4" borderId="24" xfId="1" applyFont="1" applyFill="1" applyBorder="1" applyAlignment="1">
      <alignment horizontal="center" wrapText="1"/>
    </xf>
    <xf numFmtId="0" fontId="13" fillId="4" borderId="54" xfId="1" applyFill="1" applyBorder="1" applyAlignment="1">
      <alignment horizontal="center" wrapText="1"/>
    </xf>
    <xf numFmtId="0" fontId="12" fillId="10" borderId="55" xfId="1" quotePrefix="1" applyFont="1" applyFill="1" applyBorder="1" applyAlignment="1">
      <alignment horizontal="center" vertical="center" wrapText="1"/>
    </xf>
    <xf numFmtId="0" fontId="4" fillId="0" borderId="13" xfId="1" applyFont="1" applyBorder="1"/>
    <xf numFmtId="0" fontId="7" fillId="0" borderId="0" xfId="1" applyFont="1" applyAlignment="1">
      <alignment vertical="center"/>
    </xf>
    <xf numFmtId="41" fontId="34" fillId="19" borderId="56" xfId="1" applyNumberFormat="1" applyFont="1" applyFill="1" applyBorder="1" applyAlignment="1">
      <alignment horizontal="left" vertical="center"/>
    </xf>
    <xf numFmtId="0" fontId="30" fillId="11" borderId="57" xfId="1" quotePrefix="1" applyFont="1" applyFill="1" applyBorder="1" applyAlignment="1">
      <alignment horizontal="center" vertical="center" wrapText="1"/>
    </xf>
    <xf numFmtId="0" fontId="10" fillId="19" borderId="56" xfId="1" applyFont="1" applyFill="1" applyBorder="1" applyAlignment="1">
      <alignment horizontal="right" vertical="center"/>
    </xf>
    <xf numFmtId="0" fontId="9" fillId="0" borderId="44" xfId="1" applyFont="1" applyBorder="1" applyAlignment="1">
      <alignment horizontal="right" indent="1"/>
    </xf>
    <xf numFmtId="0" fontId="9" fillId="0" borderId="43" xfId="1" applyFont="1" applyBorder="1"/>
    <xf numFmtId="0" fontId="9" fillId="0" borderId="44" xfId="1" applyFont="1" applyBorder="1"/>
    <xf numFmtId="0" fontId="10" fillId="0" borderId="44" xfId="1" applyFont="1" applyBorder="1" applyAlignment="1">
      <alignment horizontal="left" vertical="center" indent="1"/>
    </xf>
    <xf numFmtId="41" fontId="9" fillId="0" borderId="44" xfId="1" applyNumberFormat="1" applyFont="1" applyBorder="1" applyAlignment="1">
      <alignment horizontal="center"/>
    </xf>
    <xf numFmtId="41" fontId="35" fillId="0" borderId="43" xfId="1" applyNumberFormat="1" applyFont="1" applyBorder="1" applyAlignment="1">
      <alignment horizontal="right" indent="2"/>
    </xf>
    <xf numFmtId="2" fontId="35" fillId="0" borderId="44" xfId="2" applyNumberFormat="1" applyFont="1" applyFill="1" applyBorder="1" applyAlignment="1">
      <alignment horizontal="right" indent="3"/>
    </xf>
    <xf numFmtId="41" fontId="35" fillId="0" borderId="44" xfId="1" applyNumberFormat="1" applyFont="1" applyBorder="1" applyAlignment="1">
      <alignment horizontal="right" indent="2"/>
    </xf>
    <xf numFmtId="0" fontId="28" fillId="12" borderId="43" xfId="1" applyFont="1" applyFill="1" applyBorder="1" applyAlignment="1">
      <alignment horizontal="left" indent="3"/>
    </xf>
    <xf numFmtId="41" fontId="22" fillId="7" borderId="59" xfId="1" applyNumberFormat="1" applyFont="1" applyFill="1" applyBorder="1" applyAlignment="1">
      <alignment horizontal="right" indent="2"/>
    </xf>
    <xf numFmtId="41" fontId="6" fillId="0" borderId="60" xfId="1" applyNumberFormat="1" applyFont="1" applyBorder="1" applyAlignment="1">
      <alignment horizontal="right" indent="1"/>
    </xf>
    <xf numFmtId="41" fontId="9" fillId="0" borderId="61" xfId="1" applyNumberFormat="1" applyFont="1" applyBorder="1"/>
    <xf numFmtId="0" fontId="9" fillId="18" borderId="63" xfId="1" applyFont="1" applyFill="1" applyBorder="1" applyAlignment="1">
      <alignment horizontal="right" vertical="center"/>
    </xf>
    <xf numFmtId="0" fontId="49" fillId="18" borderId="63" xfId="1" applyFont="1" applyFill="1" applyBorder="1" applyAlignment="1">
      <alignment vertical="center"/>
    </xf>
    <xf numFmtId="41" fontId="22" fillId="18" borderId="63" xfId="1" applyNumberFormat="1" applyFont="1" applyFill="1" applyBorder="1" applyAlignment="1">
      <alignment horizontal="right" vertical="center"/>
    </xf>
    <xf numFmtId="41" fontId="34" fillId="18" borderId="63" xfId="1" applyNumberFormat="1" applyFont="1" applyFill="1" applyBorder="1" applyAlignment="1">
      <alignment horizontal="left" vertical="center"/>
    </xf>
    <xf numFmtId="0" fontId="48" fillId="18" borderId="63" xfId="1" applyFont="1" applyFill="1" applyBorder="1" applyAlignment="1">
      <alignment vertical="center"/>
    </xf>
    <xf numFmtId="0" fontId="50" fillId="18" borderId="63" xfId="1" applyFont="1" applyFill="1" applyBorder="1" applyAlignment="1">
      <alignment horizontal="left" vertical="center"/>
    </xf>
    <xf numFmtId="41" fontId="48" fillId="18" borderId="63" xfId="1" applyNumberFormat="1" applyFont="1" applyFill="1" applyBorder="1" applyAlignment="1">
      <alignment horizontal="center" vertical="center"/>
    </xf>
    <xf numFmtId="41" fontId="48" fillId="18" borderId="63" xfId="1" applyNumberFormat="1" applyFont="1" applyFill="1" applyBorder="1" applyAlignment="1">
      <alignment horizontal="right" vertical="center"/>
    </xf>
    <xf numFmtId="41" fontId="48" fillId="18" borderId="64" xfId="1" applyNumberFormat="1" applyFont="1" applyFill="1" applyBorder="1" applyAlignment="1">
      <alignment horizontal="right" vertical="center"/>
    </xf>
    <xf numFmtId="41" fontId="48" fillId="18" borderId="58" xfId="1" applyNumberFormat="1" applyFont="1" applyFill="1" applyBorder="1" applyAlignment="1">
      <alignment vertical="center"/>
    </xf>
    <xf numFmtId="0" fontId="9" fillId="18" borderId="66" xfId="1" applyFont="1" applyFill="1" applyBorder="1" applyAlignment="1">
      <alignment horizontal="right" vertical="center"/>
    </xf>
    <xf numFmtId="41" fontId="34" fillId="18" borderId="66" xfId="1" applyNumberFormat="1" applyFont="1" applyFill="1" applyBorder="1" applyAlignment="1">
      <alignment horizontal="left" vertical="center"/>
    </xf>
    <xf numFmtId="41" fontId="48" fillId="18" borderId="63" xfId="1" applyNumberFormat="1" applyFont="1" applyFill="1" applyBorder="1" applyAlignment="1">
      <alignment horizontal="right" vertical="center" indent="1"/>
    </xf>
    <xf numFmtId="2" fontId="48" fillId="18" borderId="63" xfId="2" applyNumberFormat="1" applyFont="1" applyFill="1" applyBorder="1" applyAlignment="1">
      <alignment horizontal="right" vertical="center" indent="1"/>
    </xf>
    <xf numFmtId="9" fontId="48" fillId="18" borderId="63" xfId="3" applyFont="1" applyFill="1" applyBorder="1" applyAlignment="1">
      <alignment horizontal="right" vertical="center" indent="1"/>
    </xf>
    <xf numFmtId="0" fontId="48" fillId="18" borderId="63" xfId="1" applyFont="1" applyFill="1" applyBorder="1" applyAlignment="1">
      <alignment horizontal="right" vertical="center" indent="1"/>
    </xf>
    <xf numFmtId="41" fontId="48" fillId="18" borderId="64" xfId="1" applyNumberFormat="1" applyFont="1" applyFill="1" applyBorder="1" applyAlignment="1">
      <alignment horizontal="right" vertical="center" indent="1"/>
    </xf>
    <xf numFmtId="41" fontId="48" fillId="18" borderId="58" xfId="1" applyNumberFormat="1" applyFont="1" applyFill="1" applyBorder="1" applyAlignment="1">
      <alignment horizontal="right" vertical="center" indent="1"/>
    </xf>
    <xf numFmtId="0" fontId="3" fillId="0" borderId="13" xfId="1" applyFont="1" applyBorder="1"/>
    <xf numFmtId="0" fontId="2" fillId="0" borderId="13" xfId="1" applyFont="1" applyBorder="1"/>
    <xf numFmtId="0" fontId="13" fillId="4" borderId="77" xfId="1" applyFill="1" applyBorder="1" applyAlignment="1">
      <alignment horizontal="center" wrapText="1"/>
    </xf>
    <xf numFmtId="0" fontId="26" fillId="8" borderId="78" xfId="1" quotePrefix="1" applyFont="1" applyFill="1" applyBorder="1" applyAlignment="1">
      <alignment horizontal="center" vertical="center" wrapText="1"/>
    </xf>
    <xf numFmtId="41" fontId="9" fillId="0" borderId="79" xfId="1" applyNumberFormat="1" applyFont="1" applyBorder="1"/>
    <xf numFmtId="41" fontId="9" fillId="0" borderId="80" xfId="1" applyNumberFormat="1" applyFont="1" applyBorder="1"/>
    <xf numFmtId="41" fontId="9" fillId="0" borderId="81" xfId="1" applyNumberFormat="1" applyFont="1" applyBorder="1"/>
    <xf numFmtId="41" fontId="48" fillId="18" borderId="82" xfId="1" applyNumberFormat="1" applyFont="1" applyFill="1" applyBorder="1" applyAlignment="1">
      <alignment horizontal="right" vertical="center" indent="1"/>
    </xf>
    <xf numFmtId="41" fontId="58" fillId="18" borderId="63" xfId="1" applyNumberFormat="1" applyFont="1" applyFill="1" applyBorder="1" applyAlignment="1">
      <alignment horizontal="right" vertical="center"/>
    </xf>
    <xf numFmtId="41" fontId="21" fillId="20" borderId="56" xfId="1" applyNumberFormat="1" applyFont="1" applyFill="1" applyBorder="1" applyAlignment="1">
      <alignment horizontal="left" vertical="center"/>
    </xf>
    <xf numFmtId="0" fontId="0" fillId="21" borderId="0" xfId="0" applyFill="1"/>
    <xf numFmtId="0" fontId="7" fillId="21" borderId="0" xfId="1" applyFont="1" applyFill="1"/>
    <xf numFmtId="0" fontId="7" fillId="21" borderId="0" xfId="1" applyFont="1" applyFill="1" applyAlignment="1">
      <alignment horizontal="center"/>
    </xf>
    <xf numFmtId="0" fontId="24" fillId="21" borderId="0" xfId="1" applyFont="1" applyFill="1" applyAlignment="1">
      <alignment horizontal="center"/>
    </xf>
    <xf numFmtId="0" fontId="8" fillId="21" borderId="0" xfId="1" applyFont="1" applyFill="1"/>
    <xf numFmtId="0" fontId="8" fillId="21" borderId="0" xfId="1" applyFont="1" applyFill="1" applyAlignment="1">
      <alignment horizontal="center"/>
    </xf>
    <xf numFmtId="0" fontId="10" fillId="21" borderId="0" xfId="1" applyFont="1" applyFill="1" applyAlignment="1">
      <alignment horizontal="center" vertical="center"/>
    </xf>
    <xf numFmtId="0" fontId="5" fillId="21" borderId="0" xfId="1" applyFont="1" applyFill="1"/>
    <xf numFmtId="0" fontId="7" fillId="21" borderId="0" xfId="1" applyFont="1" applyFill="1" applyAlignment="1">
      <alignment vertical="center"/>
    </xf>
    <xf numFmtId="0" fontId="12" fillId="0" borderId="71" xfId="1" quotePrefix="1" applyFont="1" applyBorder="1" applyAlignment="1">
      <alignment horizontal="center" vertical="center" wrapText="1"/>
    </xf>
    <xf numFmtId="0" fontId="12" fillId="0" borderId="97" xfId="1" quotePrefix="1" applyFont="1" applyBorder="1" applyAlignment="1">
      <alignment horizontal="center" vertical="center" wrapText="1"/>
    </xf>
    <xf numFmtId="0" fontId="12" fillId="0" borderId="69" xfId="1" quotePrefix="1" applyFont="1" applyBorder="1" applyAlignment="1">
      <alignment horizontal="center" vertical="center" wrapText="1"/>
    </xf>
    <xf numFmtId="0" fontId="12" fillId="0" borderId="72" xfId="1" quotePrefix="1" applyFont="1" applyBorder="1" applyAlignment="1">
      <alignment horizontal="center" vertical="center" wrapText="1"/>
    </xf>
    <xf numFmtId="0" fontId="10" fillId="0" borderId="73" xfId="1" applyFont="1" applyBorder="1" applyAlignment="1">
      <alignment horizontal="center" vertical="center"/>
    </xf>
    <xf numFmtId="3" fontId="10" fillId="0" borderId="0" xfId="1" applyNumberFormat="1" applyFont="1" applyAlignment="1">
      <alignment horizontal="center" vertical="center"/>
    </xf>
    <xf numFmtId="0" fontId="10" fillId="0" borderId="74" xfId="1" applyFont="1" applyBorder="1" applyAlignment="1">
      <alignment horizontal="center" vertical="center"/>
    </xf>
    <xf numFmtId="41" fontId="56" fillId="0" borderId="75" xfId="1" applyNumberFormat="1" applyFont="1" applyBorder="1" applyAlignment="1">
      <alignment horizontal="left" indent="1"/>
    </xf>
    <xf numFmtId="41" fontId="56" fillId="0" borderId="98" xfId="1" applyNumberFormat="1" applyFont="1" applyBorder="1" applyAlignment="1">
      <alignment horizontal="center"/>
    </xf>
    <xf numFmtId="41" fontId="56" fillId="0" borderId="68" xfId="1" applyNumberFormat="1" applyFont="1" applyBorder="1" applyAlignment="1">
      <alignment horizontal="left" indent="1"/>
    </xf>
    <xf numFmtId="41" fontId="56" fillId="0" borderId="83" xfId="1" applyNumberFormat="1" applyFont="1" applyBorder="1" applyAlignment="1">
      <alignment horizontal="left" indent="1"/>
    </xf>
    <xf numFmtId="41" fontId="56" fillId="0" borderId="99" xfId="1" applyNumberFormat="1" applyFont="1" applyBorder="1" applyAlignment="1">
      <alignment horizontal="center"/>
    </xf>
    <xf numFmtId="41" fontId="56" fillId="0" borderId="84" xfId="1" applyNumberFormat="1" applyFont="1" applyBorder="1" applyAlignment="1">
      <alignment horizontal="left" indent="1"/>
    </xf>
    <xf numFmtId="0" fontId="8" fillId="0" borderId="89" xfId="1" applyFont="1" applyBorder="1" applyAlignment="1">
      <alignment horizontal="left" vertical="center" indent="1"/>
    </xf>
    <xf numFmtId="0" fontId="8" fillId="0" borderId="90" xfId="1" applyFont="1" applyBorder="1" applyAlignment="1">
      <alignment horizontal="center" vertical="center"/>
    </xf>
    <xf numFmtId="0" fontId="57" fillId="0" borderId="90" xfId="1" applyFont="1" applyBorder="1" applyAlignment="1">
      <alignment vertical="center"/>
    </xf>
    <xf numFmtId="41" fontId="8" fillId="0" borderId="91" xfId="1" applyNumberFormat="1" applyFont="1" applyBorder="1" applyAlignment="1">
      <alignment vertical="center"/>
    </xf>
    <xf numFmtId="41" fontId="56" fillId="0" borderId="86" xfId="1" applyNumberFormat="1" applyFont="1" applyBorder="1" applyAlignment="1">
      <alignment horizontal="left" indent="1"/>
    </xf>
    <xf numFmtId="41" fontId="56" fillId="0" borderId="100" xfId="1" applyNumberFormat="1" applyFont="1" applyBorder="1" applyAlignment="1">
      <alignment horizontal="center"/>
    </xf>
    <xf numFmtId="41" fontId="56" fillId="0" borderId="87" xfId="1" applyNumberFormat="1" applyFont="1" applyBorder="1" applyAlignment="1">
      <alignment horizontal="left" indent="1"/>
    </xf>
    <xf numFmtId="0" fontId="8" fillId="0" borderId="92" xfId="1" applyFont="1" applyBorder="1" applyAlignment="1">
      <alignment horizontal="left" vertical="center" indent="1"/>
    </xf>
    <xf numFmtId="0" fontId="8" fillId="0" borderId="53" xfId="1" applyFont="1" applyBorder="1" applyAlignment="1">
      <alignment horizontal="center" vertical="center"/>
    </xf>
    <xf numFmtId="0" fontId="8" fillId="0" borderId="53" xfId="1" applyFont="1" applyBorder="1" applyAlignment="1">
      <alignment vertical="center"/>
    </xf>
    <xf numFmtId="41" fontId="8" fillId="0" borderId="93" xfId="1" applyNumberFormat="1" applyFont="1" applyBorder="1" applyAlignment="1">
      <alignment vertical="center"/>
    </xf>
    <xf numFmtId="0" fontId="59" fillId="0" borderId="94" xfId="1" applyFont="1" applyBorder="1" applyAlignment="1">
      <alignment horizontal="left" vertical="center" indent="1"/>
    </xf>
    <xf numFmtId="0" fontId="8" fillId="0" borderId="95" xfId="1" applyFont="1" applyBorder="1" applyAlignment="1">
      <alignment horizontal="center" vertical="center"/>
    </xf>
    <xf numFmtId="0" fontId="8" fillId="0" borderId="95" xfId="1" applyFont="1" applyBorder="1" applyAlignment="1">
      <alignment vertical="center"/>
    </xf>
    <xf numFmtId="0" fontId="13" fillId="22" borderId="22" xfId="1" applyFill="1" applyBorder="1" applyAlignment="1">
      <alignment horizontal="center" wrapText="1"/>
    </xf>
    <xf numFmtId="0" fontId="26" fillId="23" borderId="23" xfId="1" quotePrefix="1" applyFont="1" applyFill="1" applyBorder="1" applyAlignment="1">
      <alignment horizontal="center" vertical="center" wrapText="1"/>
    </xf>
    <xf numFmtId="41" fontId="1" fillId="4" borderId="13" xfId="1" applyNumberFormat="1" applyFont="1" applyFill="1" applyBorder="1" applyAlignment="1">
      <alignment horizontal="right" indent="2"/>
    </xf>
    <xf numFmtId="0" fontId="14" fillId="0" borderId="104" xfId="0" applyFont="1" applyBorder="1" applyAlignment="1">
      <alignment horizontal="right"/>
    </xf>
    <xf numFmtId="10" fontId="17" fillId="0" borderId="104" xfId="3" applyNumberFormat="1" applyFont="1" applyFill="1" applyBorder="1"/>
    <xf numFmtId="37" fontId="17" fillId="0" borderId="104" xfId="2" applyNumberFormat="1" applyFont="1" applyFill="1" applyBorder="1"/>
    <xf numFmtId="0" fontId="64" fillId="0" borderId="104" xfId="0" applyFont="1" applyBorder="1" applyAlignment="1">
      <alignment horizontal="right"/>
    </xf>
    <xf numFmtId="0" fontId="14" fillId="0" borderId="0" xfId="0" applyFont="1" applyAlignment="1">
      <alignment horizontal="left" indent="2"/>
    </xf>
    <xf numFmtId="0" fontId="0" fillId="0" borderId="11" xfId="0" applyBorder="1"/>
    <xf numFmtId="0" fontId="0" fillId="0" borderId="11" xfId="0" applyBorder="1" applyAlignment="1">
      <alignment horizontal="left" indent="2"/>
    </xf>
    <xf numFmtId="0" fontId="14" fillId="0" borderId="106" xfId="0" applyFont="1" applyBorder="1" applyAlignment="1">
      <alignment horizontal="right"/>
    </xf>
    <xf numFmtId="0" fontId="64" fillId="0" borderId="106" xfId="0" applyFont="1" applyBorder="1" applyAlignment="1">
      <alignment horizontal="right"/>
    </xf>
    <xf numFmtId="10" fontId="17" fillId="0" borderId="106" xfId="3" applyNumberFormat="1" applyFont="1" applyFill="1" applyBorder="1"/>
    <xf numFmtId="0" fontId="0" fillId="24" borderId="107" xfId="0" applyFill="1" applyBorder="1" applyAlignment="1">
      <alignment horizontal="right"/>
    </xf>
    <xf numFmtId="0" fontId="14" fillId="0" borderId="108" xfId="0" applyFont="1" applyBorder="1" applyAlignment="1">
      <alignment horizontal="right"/>
    </xf>
    <xf numFmtId="0" fontId="64" fillId="0" borderId="108" xfId="0" applyFont="1" applyBorder="1" applyAlignment="1">
      <alignment horizontal="right"/>
    </xf>
    <xf numFmtId="37" fontId="17" fillId="0" borderId="108" xfId="2" applyNumberFormat="1" applyFont="1" applyFill="1" applyBorder="1"/>
    <xf numFmtId="0" fontId="65" fillId="0" borderId="106" xfId="0" applyFont="1" applyBorder="1" applyAlignment="1">
      <alignment horizontal="left" indent="2"/>
    </xf>
    <xf numFmtId="0" fontId="65" fillId="0" borderId="104" xfId="0" applyFont="1" applyBorder="1" applyAlignment="1">
      <alignment horizontal="left" indent="2"/>
    </xf>
    <xf numFmtId="0" fontId="65" fillId="0" borderId="108" xfId="0" applyFont="1" applyBorder="1" applyAlignment="1">
      <alignment horizontal="left" indent="2"/>
    </xf>
    <xf numFmtId="0" fontId="66" fillId="24" borderId="107" xfId="0" applyFont="1" applyFill="1" applyBorder="1" applyAlignment="1">
      <alignment horizontal="right"/>
    </xf>
    <xf numFmtId="0" fontId="66" fillId="24" borderId="107" xfId="0" applyFont="1" applyFill="1" applyBorder="1" applyAlignment="1">
      <alignment horizontal="right" indent="1"/>
    </xf>
    <xf numFmtId="0" fontId="66" fillId="24" borderId="107" xfId="0" applyFont="1" applyFill="1" applyBorder="1" applyAlignment="1">
      <alignment horizontal="left" indent="2"/>
    </xf>
    <xf numFmtId="0" fontId="0" fillId="0" borderId="0" xfId="0" applyAlignment="1">
      <alignment vertical="center"/>
    </xf>
    <xf numFmtId="0" fontId="0" fillId="0" borderId="0" xfId="0" applyAlignment="1">
      <alignment horizontal="left" indent="1"/>
    </xf>
    <xf numFmtId="0" fontId="67" fillId="0" borderId="0" xfId="0" quotePrefix="1" applyFont="1" applyAlignment="1">
      <alignment horizontal="left" indent="1"/>
    </xf>
    <xf numFmtId="0" fontId="0" fillId="0" borderId="0" xfId="0" applyAlignment="1">
      <alignment horizontal="left" vertical="center" indent="1"/>
    </xf>
    <xf numFmtId="0" fontId="0" fillId="0" borderId="109" xfId="0" applyBorder="1"/>
    <xf numFmtId="0" fontId="61" fillId="26" borderId="109" xfId="0" applyFont="1" applyFill="1" applyBorder="1"/>
    <xf numFmtId="0" fontId="0" fillId="0" borderId="0" xfId="0" applyAlignment="1">
      <alignment horizontal="left" vertical="top" wrapText="1"/>
    </xf>
    <xf numFmtId="0" fontId="0" fillId="0" borderId="1" xfId="0" applyBorder="1"/>
    <xf numFmtId="0" fontId="0" fillId="0" borderId="1" xfId="0" applyBorder="1" applyAlignment="1">
      <alignment horizontal="left" indent="1"/>
    </xf>
    <xf numFmtId="0" fontId="0" fillId="14" borderId="0" xfId="0" applyFill="1"/>
    <xf numFmtId="0" fontId="0" fillId="14" borderId="0" xfId="0" applyFill="1" applyAlignment="1">
      <alignment horizontal="left" indent="1"/>
    </xf>
    <xf numFmtId="0" fontId="0" fillId="14" borderId="0" xfId="0" applyFill="1" applyAlignment="1">
      <alignment vertical="center"/>
    </xf>
    <xf numFmtId="0" fontId="0" fillId="14" borderId="107" xfId="0" applyFill="1" applyBorder="1"/>
    <xf numFmtId="0" fontId="0" fillId="14" borderId="107" xfId="0" applyFill="1" applyBorder="1" applyAlignment="1">
      <alignment horizontal="left" indent="1"/>
    </xf>
    <xf numFmtId="0" fontId="60" fillId="13" borderId="10" xfId="1" applyFont="1" applyFill="1" applyBorder="1" applyAlignment="1">
      <alignment horizontal="center" vertical="center"/>
    </xf>
    <xf numFmtId="0" fontId="70" fillId="4" borderId="22" xfId="1" applyFont="1" applyFill="1" applyBorder="1" applyAlignment="1">
      <alignment horizontal="center" wrapText="1"/>
    </xf>
    <xf numFmtId="164" fontId="55" fillId="7" borderId="13" xfId="2" applyNumberFormat="1" applyFont="1" applyFill="1" applyBorder="1" applyAlignment="1">
      <alignment horizontal="right" indent="2"/>
    </xf>
    <xf numFmtId="0" fontId="29" fillId="11" borderId="38" xfId="1" applyFont="1" applyFill="1" applyBorder="1" applyAlignment="1">
      <alignment horizontal="right" wrapText="1" indent="1"/>
    </xf>
    <xf numFmtId="0" fontId="29" fillId="11" borderId="38" xfId="1" applyFont="1" applyFill="1" applyBorder="1" applyAlignment="1">
      <alignment horizontal="left" wrapText="1" indent="1"/>
    </xf>
    <xf numFmtId="0" fontId="74" fillId="19" borderId="56" xfId="1" applyFont="1" applyFill="1" applyBorder="1" applyAlignment="1">
      <alignment vertical="center"/>
    </xf>
    <xf numFmtId="0" fontId="75" fillId="0" borderId="0" xfId="0" applyFont="1"/>
    <xf numFmtId="0" fontId="14" fillId="27" borderId="10" xfId="0" applyFont="1" applyFill="1" applyBorder="1" applyAlignment="1">
      <alignment horizontal="left" indent="2"/>
    </xf>
    <xf numFmtId="0" fontId="14" fillId="27" borderId="105" xfId="0" applyFont="1" applyFill="1" applyBorder="1" applyAlignment="1">
      <alignment horizontal="left" indent="2"/>
    </xf>
    <xf numFmtId="2" fontId="0" fillId="0" borderId="0" xfId="0" applyNumberFormat="1"/>
    <xf numFmtId="164" fontId="56" fillId="0" borderId="68" xfId="1" applyNumberFormat="1" applyFont="1" applyBorder="1"/>
    <xf numFmtId="164" fontId="56" fillId="0" borderId="84" xfId="1" applyNumberFormat="1" applyFont="1" applyBorder="1"/>
    <xf numFmtId="164" fontId="57" fillId="0" borderId="90" xfId="1" applyNumberFormat="1" applyFont="1" applyBorder="1" applyAlignment="1">
      <alignment vertical="center"/>
    </xf>
    <xf numFmtId="164" fontId="56" fillId="0" borderId="87" xfId="1" applyNumberFormat="1" applyFont="1" applyBorder="1"/>
    <xf numFmtId="0" fontId="76" fillId="28" borderId="70" xfId="1" applyFont="1" applyFill="1" applyBorder="1" applyAlignment="1">
      <alignment horizontal="left" wrapText="1" indent="1"/>
    </xf>
    <xf numFmtId="0" fontId="76" fillId="28" borderId="70" xfId="1" applyFont="1" applyFill="1" applyBorder="1" applyAlignment="1">
      <alignment horizontal="center" wrapText="1"/>
    </xf>
    <xf numFmtId="14" fontId="44" fillId="0" borderId="0" xfId="0" applyNumberFormat="1" applyFont="1"/>
    <xf numFmtId="165" fontId="0" fillId="0" borderId="109" xfId="3" applyNumberFormat="1" applyFont="1" applyBorder="1"/>
    <xf numFmtId="3" fontId="75" fillId="0" borderId="0" xfId="0" applyNumberFormat="1" applyFont="1"/>
    <xf numFmtId="165" fontId="0" fillId="0" borderId="0" xfId="3" applyNumberFormat="1" applyFont="1"/>
    <xf numFmtId="166" fontId="0" fillId="0" borderId="0" xfId="0" applyNumberFormat="1"/>
    <xf numFmtId="166" fontId="0" fillId="0" borderId="109" xfId="0" applyNumberFormat="1" applyBorder="1"/>
    <xf numFmtId="2" fontId="0" fillId="0" borderId="0" xfId="0" applyNumberFormat="1" applyAlignment="1">
      <alignment horizontal="center"/>
    </xf>
    <xf numFmtId="0" fontId="60" fillId="13" borderId="10" xfId="1" applyFont="1" applyFill="1" applyBorder="1" applyAlignment="1">
      <alignment vertical="center"/>
    </xf>
    <xf numFmtId="0" fontId="77" fillId="13" borderId="10" xfId="1" applyFont="1" applyFill="1" applyBorder="1" applyAlignment="1">
      <alignment horizontal="left" vertical="center"/>
    </xf>
    <xf numFmtId="0" fontId="53" fillId="18" borderId="63" xfId="1" applyFont="1" applyFill="1" applyBorder="1" applyAlignment="1">
      <alignment vertical="center"/>
    </xf>
    <xf numFmtId="0" fontId="53" fillId="18" borderId="66" xfId="1" applyFont="1" applyFill="1" applyBorder="1" applyAlignment="1">
      <alignment vertical="center"/>
    </xf>
    <xf numFmtId="41" fontId="21" fillId="0" borderId="36" xfId="1" applyNumberFormat="1" applyFont="1" applyBorder="1" applyAlignment="1">
      <alignment horizontal="right" indent="1"/>
    </xf>
    <xf numFmtId="41" fontId="21" fillId="0" borderId="37" xfId="1" applyNumberFormat="1" applyFont="1" applyBorder="1" applyAlignment="1">
      <alignment horizontal="right" indent="1"/>
    </xf>
    <xf numFmtId="41" fontId="21" fillId="0" borderId="62" xfId="1" applyNumberFormat="1" applyFont="1" applyBorder="1" applyAlignment="1">
      <alignment horizontal="right" indent="1"/>
    </xf>
    <xf numFmtId="41" fontId="6" fillId="4" borderId="31" xfId="1" applyNumberFormat="1" applyFont="1" applyFill="1" applyBorder="1" applyAlignment="1">
      <alignment horizontal="right" indent="2"/>
    </xf>
    <xf numFmtId="0" fontId="78" fillId="30" borderId="111" xfId="1" applyFont="1" applyFill="1" applyBorder="1" applyAlignment="1">
      <alignment horizontal="center" vertical="center" wrapText="1"/>
    </xf>
    <xf numFmtId="41" fontId="20" fillId="0" borderId="113" xfId="1" applyNumberFormat="1" applyFont="1" applyBorder="1" applyAlignment="1">
      <alignment horizontal="right" indent="1"/>
    </xf>
    <xf numFmtId="41" fontId="79" fillId="0" borderId="114" xfId="1" applyNumberFormat="1" applyFont="1" applyBorder="1" applyAlignment="1">
      <alignment horizontal="right" indent="1"/>
    </xf>
    <xf numFmtId="0" fontId="58" fillId="0" borderId="112" xfId="1" applyFont="1" applyBorder="1" applyAlignment="1">
      <alignment horizontal="center" wrapText="1"/>
    </xf>
    <xf numFmtId="0" fontId="27" fillId="32" borderId="41" xfId="1" applyFont="1" applyFill="1" applyBorder="1" applyAlignment="1">
      <alignment horizontal="right" wrapText="1"/>
    </xf>
    <xf numFmtId="41" fontId="80" fillId="31" borderId="115" xfId="1" applyNumberFormat="1" applyFont="1" applyFill="1" applyBorder="1" applyAlignment="1">
      <alignment horizontal="right" vertical="center"/>
    </xf>
    <xf numFmtId="0" fontId="16" fillId="29" borderId="48" xfId="1" applyFont="1" applyFill="1" applyBorder="1" applyAlignment="1">
      <alignment horizontal="center" vertical="center" wrapText="1"/>
    </xf>
    <xf numFmtId="41" fontId="6" fillId="4" borderId="110" xfId="1" applyNumberFormat="1" applyFont="1" applyFill="1" applyBorder="1" applyAlignment="1">
      <alignment horizontal="right" indent="2"/>
    </xf>
    <xf numFmtId="41" fontId="22" fillId="18" borderId="58" xfId="1" applyNumberFormat="1" applyFont="1" applyFill="1" applyBorder="1" applyAlignment="1">
      <alignment horizontal="right" vertical="center"/>
    </xf>
    <xf numFmtId="41" fontId="79" fillId="0" borderId="116" xfId="1" applyNumberFormat="1" applyFont="1" applyBorder="1" applyAlignment="1">
      <alignment horizontal="right" indent="1"/>
    </xf>
    <xf numFmtId="41" fontId="80" fillId="31" borderId="117" xfId="1" applyNumberFormat="1" applyFont="1" applyFill="1" applyBorder="1" applyAlignment="1">
      <alignment horizontal="right" vertical="center"/>
    </xf>
    <xf numFmtId="41" fontId="80" fillId="33" borderId="65" xfId="1" applyNumberFormat="1" applyFont="1" applyFill="1" applyBorder="1" applyAlignment="1">
      <alignment horizontal="right" vertical="center"/>
    </xf>
    <xf numFmtId="41" fontId="74" fillId="29" borderId="65" xfId="1" applyNumberFormat="1" applyFont="1" applyFill="1" applyBorder="1" applyAlignment="1">
      <alignment horizontal="right" vertical="center" indent="1"/>
    </xf>
    <xf numFmtId="0" fontId="0" fillId="4" borderId="54" xfId="1" applyFont="1" applyFill="1" applyBorder="1" applyAlignment="1">
      <alignment horizontal="center" wrapText="1"/>
    </xf>
    <xf numFmtId="0" fontId="81" fillId="8" borderId="23" xfId="1" quotePrefix="1" applyFont="1" applyFill="1" applyBorder="1" applyAlignment="1">
      <alignment horizontal="center" vertical="center" wrapText="1"/>
    </xf>
    <xf numFmtId="0" fontId="82" fillId="0" borderId="0" xfId="1" applyFont="1" applyAlignment="1">
      <alignment horizontal="center" wrapText="1"/>
    </xf>
    <xf numFmtId="41" fontId="83" fillId="0" borderId="13" xfId="1" applyNumberFormat="1" applyFont="1" applyBorder="1" applyAlignment="1">
      <alignment horizontal="right" indent="2"/>
    </xf>
    <xf numFmtId="41" fontId="83" fillId="0" borderId="5" xfId="1" applyNumberFormat="1" applyFont="1" applyBorder="1" applyAlignment="1">
      <alignment horizontal="right" indent="2"/>
    </xf>
    <xf numFmtId="41" fontId="83" fillId="0" borderId="5" xfId="1" applyNumberFormat="1" applyFont="1" applyBorder="1" applyAlignment="1">
      <alignment horizontal="right" indent="1"/>
    </xf>
    <xf numFmtId="0" fontId="9" fillId="0" borderId="118" xfId="1" applyFont="1" applyBorder="1"/>
    <xf numFmtId="9" fontId="22" fillId="0" borderId="11" xfId="3" applyFont="1" applyFill="1" applyBorder="1" applyAlignment="1">
      <alignment horizontal="right" indent="2"/>
    </xf>
    <xf numFmtId="41" fontId="28" fillId="0" borderId="11" xfId="1" applyNumberFormat="1" applyFont="1" applyBorder="1" applyAlignment="1">
      <alignment horizontal="right" indent="2"/>
    </xf>
    <xf numFmtId="41" fontId="83" fillId="0" borderId="11" xfId="1" applyNumberFormat="1" applyFont="1" applyBorder="1" applyAlignment="1">
      <alignment horizontal="right" indent="2"/>
    </xf>
    <xf numFmtId="41" fontId="82" fillId="0" borderId="11" xfId="1" applyNumberFormat="1" applyFont="1" applyBorder="1" applyAlignment="1">
      <alignment horizontal="center"/>
    </xf>
    <xf numFmtId="41" fontId="84" fillId="0" borderId="76" xfId="1" applyNumberFormat="1" applyFont="1" applyBorder="1" applyAlignment="1">
      <alignment horizontal="right" indent="1"/>
    </xf>
    <xf numFmtId="41" fontId="84" fillId="0" borderId="85" xfId="1" applyNumberFormat="1" applyFont="1" applyBorder="1" applyAlignment="1">
      <alignment horizontal="right" indent="1"/>
    </xf>
    <xf numFmtId="41" fontId="84" fillId="0" borderId="88" xfId="1" applyNumberFormat="1" applyFont="1" applyBorder="1" applyAlignment="1">
      <alignment horizontal="right" indent="1"/>
    </xf>
    <xf numFmtId="41" fontId="28" fillId="0" borderId="13" xfId="1" applyNumberFormat="1" applyFont="1" applyBorder="1" applyAlignment="1">
      <alignment horizontal="right" indent="2"/>
    </xf>
    <xf numFmtId="41" fontId="28" fillId="0" borderId="5" xfId="1" applyNumberFormat="1" applyFont="1" applyBorder="1" applyAlignment="1">
      <alignment horizontal="right" indent="2"/>
    </xf>
    <xf numFmtId="0" fontId="86" fillId="0" borderId="13" xfId="1" applyFont="1" applyBorder="1" applyAlignment="1">
      <alignment horizontal="left" vertical="center" indent="1"/>
    </xf>
    <xf numFmtId="0" fontId="86" fillId="0" borderId="5" xfId="1" applyFont="1" applyBorder="1" applyAlignment="1">
      <alignment horizontal="left" vertical="center" indent="1"/>
    </xf>
    <xf numFmtId="0" fontId="87" fillId="0" borderId="13" xfId="1" applyFont="1" applyBorder="1"/>
    <xf numFmtId="0" fontId="87" fillId="0" borderId="5" xfId="1" applyFont="1" applyBorder="1"/>
    <xf numFmtId="0" fontId="88" fillId="21" borderId="119" xfId="1" applyFont="1" applyFill="1" applyBorder="1" applyAlignment="1">
      <alignment horizontal="left"/>
    </xf>
    <xf numFmtId="0" fontId="54" fillId="21" borderId="119" xfId="1" applyFont="1" applyFill="1" applyBorder="1" applyAlignment="1">
      <alignment horizontal="center"/>
    </xf>
    <xf numFmtId="0" fontId="45" fillId="21" borderId="119" xfId="1" applyFont="1" applyFill="1" applyBorder="1" applyAlignment="1">
      <alignment horizontal="left"/>
    </xf>
    <xf numFmtId="0" fontId="21" fillId="13" borderId="101" xfId="1" applyFont="1" applyFill="1" applyBorder="1" applyAlignment="1">
      <alignment horizontal="center" vertical="center"/>
    </xf>
    <xf numFmtId="0" fontId="21" fillId="13" borderId="103" xfId="1" applyFont="1" applyFill="1" applyBorder="1" applyAlignment="1">
      <alignment horizontal="center" vertical="center"/>
    </xf>
    <xf numFmtId="0" fontId="89" fillId="14" borderId="102" xfId="1" applyFont="1" applyFill="1" applyBorder="1" applyAlignment="1">
      <alignment horizontal="center" vertical="center"/>
    </xf>
    <xf numFmtId="41" fontId="90" fillId="0" borderId="96" xfId="1" applyNumberFormat="1" applyFont="1" applyBorder="1" applyAlignment="1">
      <alignment vertical="center"/>
    </xf>
    <xf numFmtId="0" fontId="92" fillId="25" borderId="107" xfId="0" applyFont="1" applyFill="1" applyBorder="1" applyAlignment="1">
      <alignment horizontal="left" indent="2"/>
    </xf>
    <xf numFmtId="0" fontId="9" fillId="0" borderId="118" xfId="1" applyFont="1" applyBorder="1" applyAlignment="1">
      <alignment horizontal="right" indent="1"/>
    </xf>
    <xf numFmtId="0" fontId="9" fillId="0" borderId="0" xfId="1" applyFont="1"/>
    <xf numFmtId="9" fontId="35" fillId="0" borderId="0" xfId="3" applyFont="1" applyFill="1" applyBorder="1" applyAlignment="1">
      <alignment horizontal="right" indent="2"/>
    </xf>
    <xf numFmtId="41" fontId="28" fillId="0" borderId="19" xfId="1" applyNumberFormat="1" applyFont="1" applyBorder="1" applyAlignment="1">
      <alignment horizontal="right" indent="1"/>
    </xf>
    <xf numFmtId="41" fontId="83" fillId="0" borderId="19" xfId="1" applyNumberFormat="1" applyFont="1" applyBorder="1" applyAlignment="1">
      <alignment horizontal="right" indent="1"/>
    </xf>
    <xf numFmtId="41" fontId="1" fillId="4" borderId="17" xfId="1" applyNumberFormat="1" applyFont="1" applyFill="1" applyBorder="1" applyAlignment="1">
      <alignment horizontal="right" indent="2"/>
    </xf>
    <xf numFmtId="9" fontId="22" fillId="7" borderId="17" xfId="3" applyFont="1" applyFill="1" applyBorder="1" applyAlignment="1">
      <alignment horizontal="right" indent="2"/>
    </xf>
    <xf numFmtId="0" fontId="9" fillId="0" borderId="0" xfId="1" applyFont="1" applyAlignment="1">
      <alignment horizontal="right" indent="1"/>
    </xf>
    <xf numFmtId="41" fontId="82" fillId="0" borderId="0" xfId="1" applyNumberFormat="1" applyFont="1" applyAlignment="1">
      <alignment horizontal="center"/>
    </xf>
    <xf numFmtId="167" fontId="93" fillId="0" borderId="13" xfId="2" applyNumberFormat="1" applyFont="1" applyFill="1" applyBorder="1" applyAlignment="1">
      <alignment horizontal="right" indent="1"/>
    </xf>
    <xf numFmtId="167" fontId="93" fillId="0" borderId="5" xfId="2" applyNumberFormat="1" applyFont="1" applyFill="1" applyBorder="1" applyAlignment="1">
      <alignment horizontal="right" indent="1"/>
    </xf>
    <xf numFmtId="0" fontId="10" fillId="0" borderId="0" xfId="1" applyFont="1" applyAlignment="1">
      <alignment horizontal="left" vertical="center" indent="1"/>
    </xf>
    <xf numFmtId="41" fontId="28" fillId="0" borderId="0" xfId="1" applyNumberFormat="1" applyFont="1" applyAlignment="1">
      <alignment horizontal="right" indent="1"/>
    </xf>
    <xf numFmtId="167" fontId="93" fillId="0" borderId="0" xfId="2" applyNumberFormat="1" applyFont="1" applyFill="1" applyBorder="1" applyAlignment="1">
      <alignment horizontal="right" indent="1"/>
    </xf>
    <xf numFmtId="41" fontId="47" fillId="0" borderId="0" xfId="1" applyNumberFormat="1" applyFont="1" applyAlignment="1">
      <alignment horizontal="right" indent="1"/>
    </xf>
    <xf numFmtId="167" fontId="93" fillId="0" borderId="19" xfId="2" applyNumberFormat="1" applyFont="1" applyFill="1" applyBorder="1" applyAlignment="1">
      <alignment horizontal="right" indent="1"/>
    </xf>
    <xf numFmtId="0" fontId="15" fillId="0" borderId="13" xfId="1" applyFont="1" applyBorder="1" applyAlignment="1">
      <alignment horizontal="right" indent="1"/>
    </xf>
    <xf numFmtId="0" fontId="94" fillId="0" borderId="13" xfId="1" applyFont="1" applyBorder="1" applyAlignment="1">
      <alignment horizontal="left" vertical="center" indent="1"/>
    </xf>
    <xf numFmtId="41" fontId="93" fillId="0" borderId="13" xfId="1" applyNumberFormat="1" applyFont="1" applyBorder="1" applyAlignment="1">
      <alignment horizontal="right" indent="1"/>
    </xf>
    <xf numFmtId="41" fontId="93" fillId="0" borderId="19" xfId="1" applyNumberFormat="1" applyFont="1" applyBorder="1" applyAlignment="1">
      <alignment horizontal="right" indent="1"/>
    </xf>
    <xf numFmtId="0" fontId="13" fillId="0" borderId="13" xfId="1" applyBorder="1" applyAlignment="1">
      <alignment horizontal="right" indent="1"/>
    </xf>
    <xf numFmtId="0" fontId="13" fillId="0" borderId="13" xfId="1" applyBorder="1"/>
    <xf numFmtId="0" fontId="32" fillId="0" borderId="13" xfId="1" applyFont="1" applyBorder="1" applyAlignment="1">
      <alignment horizontal="left" vertical="center" indent="1"/>
    </xf>
    <xf numFmtId="0" fontId="13" fillId="0" borderId="19" xfId="1" applyBorder="1" applyAlignment="1">
      <alignment horizontal="right" indent="1"/>
    </xf>
    <xf numFmtId="0" fontId="13" fillId="0" borderId="19" xfId="1" applyBorder="1"/>
    <xf numFmtId="0" fontId="32" fillId="0" borderId="19" xfId="1" applyFont="1" applyBorder="1" applyAlignment="1">
      <alignment horizontal="left" vertical="center" indent="1"/>
    </xf>
    <xf numFmtId="0" fontId="15" fillId="0" borderId="5" xfId="1" applyFont="1" applyBorder="1" applyAlignment="1">
      <alignment horizontal="right" indent="1"/>
    </xf>
    <xf numFmtId="41" fontId="93" fillId="0" borderId="5" xfId="1" applyNumberFormat="1" applyFont="1" applyBorder="1" applyAlignment="1">
      <alignment horizontal="right" indent="1"/>
    </xf>
    <xf numFmtId="0" fontId="13" fillId="0" borderId="5" xfId="1" applyBorder="1" applyAlignment="1">
      <alignment horizontal="right" indent="1"/>
    </xf>
    <xf numFmtId="0" fontId="13" fillId="0" borderId="5" xfId="1" applyBorder="1"/>
    <xf numFmtId="0" fontId="32" fillId="0" borderId="5" xfId="1" applyFont="1" applyBorder="1" applyAlignment="1">
      <alignment horizontal="left" vertical="center" indent="1"/>
    </xf>
    <xf numFmtId="0" fontId="96" fillId="0" borderId="120" xfId="1" applyFont="1" applyBorder="1" applyAlignment="1">
      <alignment horizontal="left" vertical="center"/>
    </xf>
    <xf numFmtId="41" fontId="97" fillId="0" borderId="120" xfId="1" applyNumberFormat="1" applyFont="1" applyBorder="1" applyAlignment="1">
      <alignment horizontal="right" vertical="center"/>
    </xf>
    <xf numFmtId="167" fontId="97" fillId="0" borderId="120" xfId="2" applyNumberFormat="1" applyFont="1" applyFill="1" applyBorder="1" applyAlignment="1">
      <alignment horizontal="right" vertical="center"/>
    </xf>
    <xf numFmtId="0" fontId="95" fillId="14" borderId="121" xfId="1" applyFont="1" applyFill="1" applyBorder="1" applyAlignment="1">
      <alignment horizontal="right" vertical="center" indent="1"/>
    </xf>
    <xf numFmtId="0" fontId="95" fillId="14" borderId="121" xfId="1" applyFont="1" applyFill="1" applyBorder="1" applyAlignment="1">
      <alignment vertical="center"/>
    </xf>
    <xf numFmtId="167" fontId="93" fillId="0" borderId="42" xfId="2" applyNumberFormat="1" applyFont="1" applyFill="1" applyBorder="1" applyAlignment="1">
      <alignment horizontal="right" indent="1"/>
    </xf>
    <xf numFmtId="41" fontId="93" fillId="0" borderId="42" xfId="1" applyNumberFormat="1" applyFont="1" applyBorder="1" applyAlignment="1">
      <alignment horizontal="right" indent="1"/>
    </xf>
    <xf numFmtId="0" fontId="13" fillId="0" borderId="42" xfId="1" applyBorder="1" applyAlignment="1">
      <alignment horizontal="right" indent="1"/>
    </xf>
    <xf numFmtId="0" fontId="32" fillId="0" borderId="42" xfId="1" applyFont="1" applyBorder="1" applyAlignment="1">
      <alignment horizontal="left" vertical="center" indent="1"/>
    </xf>
    <xf numFmtId="0" fontId="13" fillId="0" borderId="17" xfId="1" applyBorder="1" applyAlignment="1">
      <alignment horizontal="right" indent="1"/>
    </xf>
    <xf numFmtId="41" fontId="93" fillId="0" borderId="17" xfId="1" applyNumberFormat="1" applyFont="1" applyBorder="1" applyAlignment="1">
      <alignment horizontal="right" indent="1"/>
    </xf>
    <xf numFmtId="41" fontId="35" fillId="0" borderId="17" xfId="1" applyNumberFormat="1" applyFont="1" applyBorder="1" applyAlignment="1">
      <alignment horizontal="right" indent="2"/>
    </xf>
    <xf numFmtId="41" fontId="83" fillId="0" borderId="17" xfId="1" applyNumberFormat="1" applyFont="1" applyBorder="1" applyAlignment="1">
      <alignment horizontal="right" indent="2"/>
    </xf>
    <xf numFmtId="9" fontId="35" fillId="0" borderId="17" xfId="3" applyFont="1" applyFill="1" applyBorder="1" applyAlignment="1">
      <alignment horizontal="right" indent="2"/>
    </xf>
    <xf numFmtId="41" fontId="22" fillId="7" borderId="17" xfId="1" applyNumberFormat="1" applyFont="1" applyFill="1" applyBorder="1" applyAlignment="1">
      <alignment horizontal="right" indent="2"/>
    </xf>
    <xf numFmtId="41" fontId="99" fillId="0" borderId="13" xfId="1" applyNumberFormat="1" applyFont="1" applyBorder="1" applyAlignment="1">
      <alignment horizontal="right" indent="2"/>
    </xf>
    <xf numFmtId="9" fontId="47" fillId="0" borderId="13" xfId="3" applyFont="1" applyFill="1" applyBorder="1" applyAlignment="1">
      <alignment horizontal="right" indent="2"/>
    </xf>
    <xf numFmtId="41" fontId="13" fillId="4" borderId="13" xfId="1" applyNumberFormat="1" applyFill="1" applyBorder="1" applyAlignment="1">
      <alignment horizontal="right" indent="2"/>
    </xf>
    <xf numFmtId="41" fontId="55" fillId="7" borderId="18" xfId="1" applyNumberFormat="1" applyFont="1" applyFill="1" applyBorder="1" applyAlignment="1">
      <alignment horizontal="right" indent="2"/>
    </xf>
    <xf numFmtId="0" fontId="13" fillId="0" borderId="0" xfId="1"/>
    <xf numFmtId="41" fontId="83" fillId="0" borderId="19" xfId="1" applyNumberFormat="1" applyFont="1" applyBorder="1" applyAlignment="1">
      <alignment horizontal="right" indent="2"/>
    </xf>
    <xf numFmtId="0" fontId="9" fillId="0" borderId="11" xfId="1" applyFont="1" applyBorder="1"/>
    <xf numFmtId="0" fontId="10" fillId="0" borderId="11" xfId="1" applyFont="1" applyBorder="1" applyAlignment="1">
      <alignment horizontal="left" vertical="center" indent="1"/>
    </xf>
    <xf numFmtId="41" fontId="1" fillId="0" borderId="11" xfId="1" applyNumberFormat="1" applyFont="1" applyBorder="1" applyAlignment="1">
      <alignment horizontal="right" indent="1"/>
    </xf>
    <xf numFmtId="41" fontId="22" fillId="0" borderId="11" xfId="1" applyNumberFormat="1" applyFont="1" applyBorder="1" applyAlignment="1">
      <alignment horizontal="right" indent="2"/>
    </xf>
    <xf numFmtId="41" fontId="23" fillId="0" borderId="11" xfId="1" applyNumberFormat="1" applyFont="1" applyBorder="1" applyAlignment="1">
      <alignment horizontal="right" indent="1"/>
    </xf>
    <xf numFmtId="41" fontId="35" fillId="0" borderId="0" xfId="1" applyNumberFormat="1" applyFont="1" applyAlignment="1">
      <alignment horizontal="right" indent="2"/>
    </xf>
    <xf numFmtId="41" fontId="1" fillId="0" borderId="0" xfId="1" applyNumberFormat="1" applyFont="1" applyAlignment="1">
      <alignment horizontal="right" indent="2"/>
    </xf>
    <xf numFmtId="41" fontId="99" fillId="0" borderId="122" xfId="1" applyNumberFormat="1" applyFont="1" applyBorder="1" applyAlignment="1">
      <alignment horizontal="right" indent="2"/>
    </xf>
    <xf numFmtId="9" fontId="47" fillId="0" borderId="122" xfId="3" applyFont="1" applyFill="1" applyBorder="1" applyAlignment="1">
      <alignment horizontal="right" indent="2"/>
    </xf>
    <xf numFmtId="41" fontId="13" fillId="4" borderId="122" xfId="1" applyNumberFormat="1" applyFill="1" applyBorder="1" applyAlignment="1">
      <alignment horizontal="right" indent="2"/>
    </xf>
    <xf numFmtId="41" fontId="55" fillId="7" borderId="122" xfId="1" applyNumberFormat="1" applyFont="1" applyFill="1" applyBorder="1" applyAlignment="1">
      <alignment horizontal="right" indent="2"/>
    </xf>
    <xf numFmtId="9" fontId="47" fillId="0" borderId="123" xfId="3" applyFont="1" applyFill="1" applyBorder="1" applyAlignment="1">
      <alignment horizontal="right" indent="2"/>
    </xf>
    <xf numFmtId="41" fontId="99" fillId="0" borderId="123" xfId="1" applyNumberFormat="1" applyFont="1" applyBorder="1" applyAlignment="1">
      <alignment horizontal="right" indent="2"/>
    </xf>
    <xf numFmtId="0" fontId="10" fillId="0" borderId="13" xfId="1" applyFont="1" applyBorder="1" applyAlignment="1">
      <alignment horizontal="left" vertical="center" indent="2"/>
    </xf>
    <xf numFmtId="0" fontId="10" fillId="0" borderId="5" xfId="1" applyFont="1" applyBorder="1" applyAlignment="1">
      <alignment horizontal="left" vertical="center" indent="2"/>
    </xf>
    <xf numFmtId="41" fontId="83" fillId="0" borderId="0" xfId="1" applyNumberFormat="1" applyFont="1" applyAlignment="1">
      <alignment horizontal="right" indent="2"/>
    </xf>
    <xf numFmtId="41" fontId="69" fillId="0" borderId="0" xfId="1" applyNumberFormat="1" applyFont="1" applyAlignment="1">
      <alignment horizontal="right" indent="2"/>
    </xf>
    <xf numFmtId="9" fontId="22" fillId="0" borderId="0" xfId="3" applyFont="1" applyFill="1" applyBorder="1" applyAlignment="1">
      <alignment horizontal="right" indent="2"/>
    </xf>
    <xf numFmtId="0" fontId="10" fillId="0" borderId="19" xfId="1" applyFont="1" applyBorder="1" applyAlignment="1">
      <alignment horizontal="left" vertical="center" indent="2"/>
    </xf>
    <xf numFmtId="0" fontId="16" fillId="13" borderId="11" xfId="1" applyFont="1" applyFill="1" applyBorder="1" applyAlignment="1">
      <alignment horizontal="right" indent="1"/>
    </xf>
    <xf numFmtId="0" fontId="9" fillId="15" borderId="11" xfId="1" applyFont="1" applyFill="1" applyBorder="1"/>
    <xf numFmtId="0" fontId="10" fillId="15" borderId="11" xfId="1" applyFont="1" applyFill="1" applyBorder="1" applyAlignment="1">
      <alignment horizontal="left" vertical="center" indent="1"/>
    </xf>
    <xf numFmtId="41" fontId="28" fillId="15" borderId="11" xfId="1" applyNumberFormat="1" applyFont="1" applyFill="1" applyBorder="1" applyAlignment="1">
      <alignment horizontal="right" indent="1"/>
    </xf>
    <xf numFmtId="167" fontId="93" fillId="15" borderId="11" xfId="2" applyNumberFormat="1" applyFont="1" applyFill="1" applyBorder="1" applyAlignment="1">
      <alignment horizontal="right" indent="1"/>
    </xf>
    <xf numFmtId="41" fontId="47" fillId="15" borderId="11" xfId="1" applyNumberFormat="1" applyFont="1" applyFill="1" applyBorder="1" applyAlignment="1">
      <alignment horizontal="right" indent="1"/>
    </xf>
    <xf numFmtId="0" fontId="98" fillId="0" borderId="17" xfId="1" applyFont="1" applyBorder="1" applyAlignment="1">
      <alignment horizontal="left" vertical="center" indent="1"/>
    </xf>
    <xf numFmtId="167" fontId="65" fillId="0" borderId="17" xfId="2" applyNumberFormat="1" applyFont="1" applyFill="1" applyBorder="1" applyAlignment="1">
      <alignment horizontal="right" indent="1"/>
    </xf>
    <xf numFmtId="0" fontId="68" fillId="0" borderId="0" xfId="0" applyFont="1"/>
    <xf numFmtId="10" fontId="100" fillId="36" borderId="124" xfId="3" applyNumberFormat="1" applyFont="1" applyFill="1" applyBorder="1" applyAlignment="1">
      <alignment horizontal="right" indent="1"/>
    </xf>
    <xf numFmtId="168" fontId="101" fillId="0" borderId="0" xfId="2" quotePrefix="1" applyNumberFormat="1" applyFont="1" applyBorder="1" applyAlignment="1">
      <alignment vertical="center"/>
    </xf>
    <xf numFmtId="168" fontId="103" fillId="0" borderId="0" xfId="2" applyNumberFormat="1" applyFont="1" applyBorder="1"/>
    <xf numFmtId="168" fontId="103" fillId="0" borderId="126" xfId="2" applyNumberFormat="1" applyFont="1" applyBorder="1"/>
    <xf numFmtId="168" fontId="104" fillId="36" borderId="124" xfId="2" applyNumberFormat="1" applyFont="1" applyFill="1" applyBorder="1"/>
    <xf numFmtId="10" fontId="104" fillId="36" borderId="124" xfId="3" applyNumberFormat="1" applyFont="1" applyFill="1" applyBorder="1" applyAlignment="1">
      <alignment horizontal="right" indent="1"/>
    </xf>
    <xf numFmtId="0" fontId="104" fillId="36" borderId="124" xfId="0" applyFont="1" applyFill="1" applyBorder="1" applyAlignment="1">
      <alignment horizontal="center"/>
    </xf>
    <xf numFmtId="168" fontId="106" fillId="36" borderId="124" xfId="2" applyNumberFormat="1" applyFont="1" applyFill="1" applyBorder="1"/>
    <xf numFmtId="10" fontId="106" fillId="36" borderId="124" xfId="3" applyNumberFormat="1" applyFont="1" applyFill="1" applyBorder="1" applyAlignment="1">
      <alignment horizontal="right" indent="1"/>
    </xf>
    <xf numFmtId="0" fontId="106" fillId="36" borderId="124" xfId="0" applyFont="1" applyFill="1" applyBorder="1" applyAlignment="1">
      <alignment horizontal="center"/>
    </xf>
    <xf numFmtId="168" fontId="100" fillId="36" borderId="124" xfId="2" applyNumberFormat="1" applyFont="1" applyFill="1" applyBorder="1"/>
    <xf numFmtId="0" fontId="100" fillId="36" borderId="124" xfId="0" applyFont="1" applyFill="1" applyBorder="1" applyAlignment="1">
      <alignment horizontal="center"/>
    </xf>
    <xf numFmtId="168" fontId="101" fillId="0" borderId="128" xfId="2" quotePrefix="1" applyNumberFormat="1" applyFont="1" applyBorder="1" applyAlignment="1">
      <alignment vertical="center"/>
    </xf>
    <xf numFmtId="168" fontId="103" fillId="0" borderId="129" xfId="2" applyNumberFormat="1" applyFont="1" applyBorder="1"/>
    <xf numFmtId="168" fontId="100" fillId="36" borderId="130" xfId="2" applyNumberFormat="1" applyFont="1" applyFill="1" applyBorder="1"/>
    <xf numFmtId="10" fontId="100" fillId="36" borderId="130" xfId="3" applyNumberFormat="1" applyFont="1" applyFill="1" applyBorder="1" applyAlignment="1">
      <alignment horizontal="right" indent="1"/>
    </xf>
    <xf numFmtId="0" fontId="100" fillId="36" borderId="130" xfId="0" applyFont="1" applyFill="1" applyBorder="1" applyAlignment="1">
      <alignment horizontal="center"/>
    </xf>
    <xf numFmtId="168" fontId="103" fillId="0" borderId="0" xfId="2" quotePrefix="1" applyNumberFormat="1" applyFont="1" applyBorder="1" applyAlignment="1">
      <alignment horizontal="right"/>
    </xf>
    <xf numFmtId="168" fontId="103" fillId="0" borderId="0" xfId="2" quotePrefix="1" applyNumberFormat="1" applyFont="1" applyBorder="1" applyAlignment="1">
      <alignment horizontal="center" vertical="center"/>
    </xf>
    <xf numFmtId="168" fontId="103" fillId="0" borderId="131" xfId="2" applyNumberFormat="1" applyFont="1" applyBorder="1"/>
    <xf numFmtId="168" fontId="43" fillId="21" borderId="0" xfId="2" applyNumberFormat="1" applyFont="1" applyFill="1" applyBorder="1"/>
    <xf numFmtId="10" fontId="43" fillId="21" borderId="0" xfId="3" applyNumberFormat="1" applyFont="1" applyFill="1" applyBorder="1" applyAlignment="1">
      <alignment horizontal="right" indent="1"/>
    </xf>
    <xf numFmtId="0" fontId="43" fillId="21" borderId="0" xfId="0" applyFont="1" applyFill="1" applyAlignment="1">
      <alignment horizontal="center"/>
    </xf>
    <xf numFmtId="168" fontId="103" fillId="0" borderId="134" xfId="2" applyNumberFormat="1" applyFont="1" applyBorder="1"/>
    <xf numFmtId="168" fontId="43" fillId="0" borderId="135" xfId="2" applyNumberFormat="1" applyFont="1" applyBorder="1"/>
    <xf numFmtId="10" fontId="43" fillId="0" borderId="135" xfId="3" applyNumberFormat="1" applyFont="1" applyBorder="1" applyAlignment="1">
      <alignment horizontal="right" indent="1"/>
    </xf>
    <xf numFmtId="0" fontId="43" fillId="0" borderId="135" xfId="0" applyFont="1" applyBorder="1" applyAlignment="1">
      <alignment horizontal="center"/>
    </xf>
    <xf numFmtId="168" fontId="43" fillId="0" borderId="124" xfId="2" applyNumberFormat="1" applyFont="1" applyBorder="1"/>
    <xf numFmtId="10" fontId="43" fillId="0" borderId="124" xfId="3" applyNumberFormat="1" applyFont="1" applyBorder="1" applyAlignment="1">
      <alignment horizontal="right" indent="1"/>
    </xf>
    <xf numFmtId="0" fontId="43" fillId="0" borderId="124" xfId="0" applyFont="1" applyBorder="1" applyAlignment="1">
      <alignment horizontal="center"/>
    </xf>
    <xf numFmtId="168" fontId="43" fillId="0" borderId="130" xfId="2" applyNumberFormat="1" applyFont="1" applyBorder="1"/>
    <xf numFmtId="10" fontId="43" fillId="0" borderId="130" xfId="3" applyNumberFormat="1" applyFont="1" applyBorder="1" applyAlignment="1">
      <alignment horizontal="right" indent="1"/>
    </xf>
    <xf numFmtId="0" fontId="43" fillId="0" borderId="130" xfId="0" applyFont="1" applyBorder="1" applyAlignment="1">
      <alignment horizontal="center"/>
    </xf>
    <xf numFmtId="168" fontId="108" fillId="0" borderId="131" xfId="2" quotePrefix="1" applyNumberFormat="1" applyFont="1" applyBorder="1" applyAlignment="1">
      <alignment horizontal="right"/>
    </xf>
    <xf numFmtId="168" fontId="103" fillId="0" borderId="139" xfId="2" quotePrefix="1" applyNumberFormat="1" applyFont="1" applyBorder="1" applyAlignment="1">
      <alignment horizontal="center" vertical="center"/>
    </xf>
    <xf numFmtId="168" fontId="103" fillId="0" borderId="140" xfId="2" quotePrefix="1" applyNumberFormat="1" applyFont="1" applyBorder="1" applyAlignment="1">
      <alignment horizontal="center" vertical="center"/>
    </xf>
    <xf numFmtId="168" fontId="110" fillId="0" borderId="129" xfId="2" applyNumberFormat="1" applyFont="1" applyBorder="1"/>
    <xf numFmtId="168" fontId="43" fillId="36" borderId="141" xfId="0" applyNumberFormat="1" applyFont="1" applyFill="1" applyBorder="1"/>
    <xf numFmtId="168" fontId="111" fillId="38" borderId="141" xfId="2" applyNumberFormat="1" applyFont="1" applyFill="1" applyBorder="1"/>
    <xf numFmtId="10" fontId="43" fillId="36" borderId="141" xfId="3" applyNumberFormat="1" applyFont="1" applyFill="1" applyBorder="1" applyAlignment="1">
      <alignment horizontal="right" indent="1"/>
    </xf>
    <xf numFmtId="0" fontId="43" fillId="36" borderId="141" xfId="0" applyFont="1" applyFill="1" applyBorder="1" applyAlignment="1">
      <alignment horizontal="center"/>
    </xf>
    <xf numFmtId="0" fontId="112" fillId="0" borderId="0" xfId="0" applyFont="1" applyAlignment="1">
      <alignment horizontal="center" vertical="center" wrapText="1"/>
    </xf>
    <xf numFmtId="0" fontId="113" fillId="0" borderId="142" xfId="0" applyFont="1" applyBorder="1" applyAlignment="1">
      <alignment horizontal="center" vertical="center" wrapText="1"/>
    </xf>
    <xf numFmtId="0" fontId="32" fillId="0" borderId="142" xfId="0" applyFont="1" applyBorder="1" applyAlignment="1">
      <alignment horizontal="right" vertical="center" wrapText="1" indent="1"/>
    </xf>
    <xf numFmtId="0" fontId="94" fillId="0" borderId="142" xfId="0" applyFont="1" applyBorder="1" applyAlignment="1">
      <alignment horizontal="center" vertical="center" wrapText="1"/>
    </xf>
    <xf numFmtId="0" fontId="98" fillId="0" borderId="0" xfId="0" applyFont="1"/>
    <xf numFmtId="0" fontId="115" fillId="39" borderId="0" xfId="0" applyFont="1" applyFill="1" applyAlignment="1">
      <alignment horizontal="left" vertical="center" indent="1"/>
    </xf>
    <xf numFmtId="0" fontId="116" fillId="39" borderId="0" xfId="0" applyFont="1" applyFill="1" applyAlignment="1">
      <alignment horizontal="center" vertical="center"/>
    </xf>
    <xf numFmtId="10" fontId="35" fillId="0" borderId="13" xfId="3" applyNumberFormat="1" applyFont="1" applyFill="1" applyBorder="1" applyAlignment="1">
      <alignment horizontal="right" indent="2"/>
    </xf>
    <xf numFmtId="10" fontId="35" fillId="0" borderId="5" xfId="3" applyNumberFormat="1" applyFont="1" applyFill="1" applyBorder="1" applyAlignment="1">
      <alignment horizontal="right" indent="2"/>
    </xf>
    <xf numFmtId="0" fontId="81" fillId="40" borderId="15" xfId="1" quotePrefix="1" applyFont="1" applyFill="1" applyBorder="1" applyAlignment="1">
      <alignment horizontal="center" vertical="center" wrapText="1"/>
    </xf>
    <xf numFmtId="0" fontId="82" fillId="0" borderId="0" xfId="1" applyFont="1" applyAlignment="1">
      <alignment wrapText="1"/>
    </xf>
    <xf numFmtId="0" fontId="120" fillId="40" borderId="14" xfId="1" applyFont="1" applyFill="1" applyBorder="1" applyAlignment="1">
      <alignment horizontal="center" wrapText="1"/>
    </xf>
    <xf numFmtId="0" fontId="68" fillId="0" borderId="13" xfId="1" applyFont="1" applyBorder="1"/>
    <xf numFmtId="0" fontId="68" fillId="0" borderId="5" xfId="1" applyFont="1" applyBorder="1"/>
    <xf numFmtId="0" fontId="13" fillId="15" borderId="11" xfId="1" applyFill="1" applyBorder="1"/>
    <xf numFmtId="0" fontId="85" fillId="0" borderId="13" xfId="1" applyFont="1" applyBorder="1"/>
    <xf numFmtId="0" fontId="85" fillId="0" borderId="5" xfId="1" applyFont="1" applyBorder="1"/>
    <xf numFmtId="41" fontId="85" fillId="35" borderId="13" xfId="1" applyNumberFormat="1" applyFont="1" applyFill="1" applyBorder="1" applyAlignment="1">
      <alignment horizontal="right" indent="1"/>
    </xf>
    <xf numFmtId="0" fontId="121" fillId="0" borderId="0" xfId="1" applyFont="1"/>
    <xf numFmtId="0" fontId="120" fillId="0" borderId="0" xfId="1" applyFont="1"/>
    <xf numFmtId="0" fontId="120" fillId="15" borderId="11" xfId="1" applyFont="1" applyFill="1" applyBorder="1"/>
    <xf numFmtId="0" fontId="85" fillId="0" borderId="0" xfId="1" applyFont="1"/>
    <xf numFmtId="0" fontId="85" fillId="15" borderId="11" xfId="1" applyFont="1" applyFill="1" applyBorder="1"/>
    <xf numFmtId="0" fontId="85" fillId="0" borderId="53" xfId="1" applyFont="1" applyBorder="1"/>
    <xf numFmtId="0" fontId="121" fillId="0" borderId="11" xfId="1" applyFont="1" applyBorder="1"/>
    <xf numFmtId="0" fontId="121" fillId="0" borderId="107" xfId="1" applyFont="1" applyBorder="1"/>
    <xf numFmtId="41" fontId="28" fillId="0" borderId="107" xfId="1" applyNumberFormat="1" applyFont="1" applyBorder="1" applyAlignment="1">
      <alignment horizontal="right" indent="2"/>
    </xf>
    <xf numFmtId="41" fontId="83" fillId="0" borderId="107" xfId="1" applyNumberFormat="1" applyFont="1" applyBorder="1" applyAlignment="1">
      <alignment horizontal="right" indent="2"/>
    </xf>
    <xf numFmtId="41" fontId="82" fillId="0" borderId="107" xfId="1" applyNumberFormat="1" applyFont="1" applyBorder="1" applyAlignment="1">
      <alignment horizontal="center"/>
    </xf>
    <xf numFmtId="0" fontId="68" fillId="0" borderId="17" xfId="1" applyFont="1" applyBorder="1"/>
    <xf numFmtId="41" fontId="85" fillId="35" borderId="17" xfId="1" applyNumberFormat="1" applyFont="1" applyFill="1" applyBorder="1" applyAlignment="1">
      <alignment horizontal="right" indent="1"/>
    </xf>
    <xf numFmtId="0" fontId="16" fillId="14" borderId="107" xfId="1" applyFont="1" applyFill="1" applyBorder="1" applyAlignment="1">
      <alignment horizontal="right" indent="1"/>
    </xf>
    <xf numFmtId="0" fontId="15" fillId="0" borderId="122" xfId="1" applyFont="1" applyBorder="1" applyAlignment="1">
      <alignment horizontal="right" indent="1"/>
    </xf>
    <xf numFmtId="0" fontId="15" fillId="0" borderId="123" xfId="1" applyFont="1" applyBorder="1" applyAlignment="1">
      <alignment horizontal="right" indent="1"/>
    </xf>
    <xf numFmtId="41" fontId="97" fillId="5" borderId="13" xfId="1" applyNumberFormat="1" applyFont="1" applyFill="1" applyBorder="1" applyAlignment="1">
      <alignment horizontal="right" indent="2"/>
    </xf>
    <xf numFmtId="41" fontId="97" fillId="5" borderId="5" xfId="1" applyNumberFormat="1" applyFont="1" applyFill="1" applyBorder="1" applyAlignment="1">
      <alignment horizontal="right" indent="2"/>
    </xf>
    <xf numFmtId="41" fontId="97" fillId="5" borderId="19" xfId="1" applyNumberFormat="1" applyFont="1" applyFill="1" applyBorder="1" applyAlignment="1">
      <alignment horizontal="right" indent="2"/>
    </xf>
    <xf numFmtId="0" fontId="68" fillId="0" borderId="122" xfId="1" applyFont="1" applyBorder="1"/>
    <xf numFmtId="0" fontId="68" fillId="0" borderId="123" xfId="1" applyFont="1" applyBorder="1"/>
    <xf numFmtId="0" fontId="86" fillId="0" borderId="149" xfId="1" applyFont="1" applyBorder="1" applyAlignment="1">
      <alignment horizontal="left" vertical="center" indent="1"/>
    </xf>
    <xf numFmtId="0" fontId="69" fillId="0" borderId="13" xfId="1" applyFont="1" applyBorder="1"/>
    <xf numFmtId="0" fontId="69" fillId="0" borderId="5" xfId="1" applyFont="1" applyBorder="1"/>
    <xf numFmtId="41" fontId="69" fillId="0" borderId="13" xfId="1" applyNumberFormat="1" applyFont="1" applyBorder="1" applyAlignment="1">
      <alignment horizontal="right" indent="2"/>
    </xf>
    <xf numFmtId="41" fontId="69" fillId="0" borderId="5" xfId="1" applyNumberFormat="1" applyFont="1" applyBorder="1" applyAlignment="1">
      <alignment horizontal="right" indent="2"/>
    </xf>
    <xf numFmtId="0" fontId="68" fillId="0" borderId="42" xfId="1" applyFont="1" applyBorder="1"/>
    <xf numFmtId="0" fontId="68" fillId="0" borderId="19" xfId="1" applyFont="1" applyBorder="1"/>
    <xf numFmtId="0" fontId="86" fillId="0" borderId="152" xfId="1" applyFont="1" applyBorder="1" applyAlignment="1">
      <alignment horizontal="left" vertical="center" indent="1"/>
    </xf>
    <xf numFmtId="0" fontId="86" fillId="0" borderId="154" xfId="1" applyFont="1" applyBorder="1" applyAlignment="1">
      <alignment horizontal="left" vertical="center" indent="1"/>
    </xf>
    <xf numFmtId="0" fontId="86" fillId="0" borderId="153" xfId="1" applyFont="1" applyBorder="1" applyAlignment="1">
      <alignment horizontal="left" vertical="center" indent="1"/>
    </xf>
    <xf numFmtId="0" fontId="86" fillId="0" borderId="120" xfId="1" applyFont="1" applyBorder="1" applyAlignment="1">
      <alignment horizontal="left" vertical="center" indent="1"/>
    </xf>
    <xf numFmtId="41" fontId="28" fillId="0" borderId="11" xfId="1" applyNumberFormat="1" applyFont="1" applyBorder="1" applyAlignment="1">
      <alignment horizontal="right" indent="1"/>
    </xf>
    <xf numFmtId="167" fontId="93" fillId="0" borderId="11" xfId="2" applyNumberFormat="1" applyFont="1" applyFill="1" applyBorder="1" applyAlignment="1">
      <alignment horizontal="right" indent="1"/>
    </xf>
    <xf numFmtId="0" fontId="123" fillId="14" borderId="11" xfId="1" applyFont="1" applyFill="1" applyBorder="1" applyAlignment="1">
      <alignment horizontal="right" indent="1"/>
    </xf>
    <xf numFmtId="41" fontId="69" fillId="40" borderId="13" xfId="1" applyNumberFormat="1" applyFont="1" applyFill="1" applyBorder="1" applyAlignment="1">
      <alignment horizontal="right" indent="2"/>
    </xf>
    <xf numFmtId="0" fontId="0" fillId="42" borderId="0" xfId="0" applyFill="1"/>
    <xf numFmtId="0" fontId="0" fillId="42" borderId="0" xfId="0" applyFill="1" applyAlignment="1">
      <alignment horizontal="left" vertical="center" indent="1"/>
    </xf>
    <xf numFmtId="0" fontId="0" fillId="42" borderId="0" xfId="0" applyFill="1" applyAlignment="1">
      <alignment vertical="center"/>
    </xf>
    <xf numFmtId="0" fontId="55" fillId="0" borderId="0" xfId="0" quotePrefix="1" applyFont="1" applyAlignment="1">
      <alignment horizontal="left" indent="1"/>
    </xf>
    <xf numFmtId="0" fontId="9" fillId="43" borderId="145" xfId="1" applyFont="1" applyFill="1" applyBorder="1" applyAlignment="1">
      <alignment horizontal="right" indent="1"/>
    </xf>
    <xf numFmtId="0" fontId="9" fillId="43" borderId="145" xfId="1" applyFont="1" applyFill="1" applyBorder="1"/>
    <xf numFmtId="41" fontId="22" fillId="43" borderId="144" xfId="1" applyNumberFormat="1" applyFont="1" applyFill="1" applyBorder="1" applyAlignment="1">
      <alignment horizontal="right" indent="2"/>
    </xf>
    <xf numFmtId="0" fontId="122" fillId="43" borderId="145" xfId="1" applyFont="1" applyFill="1" applyBorder="1"/>
    <xf numFmtId="0" fontId="10" fillId="43" borderId="145" xfId="1" applyFont="1" applyFill="1" applyBorder="1" applyAlignment="1">
      <alignment horizontal="left" vertical="center" indent="1"/>
    </xf>
    <xf numFmtId="41" fontId="9" fillId="43" borderId="145" xfId="1" applyNumberFormat="1" applyFont="1" applyFill="1" applyBorder="1" applyAlignment="1">
      <alignment horizontal="right" indent="1"/>
    </xf>
    <xf numFmtId="41" fontId="22" fillId="43" borderId="146" xfId="1" applyNumberFormat="1" applyFont="1" applyFill="1" applyBorder="1" applyAlignment="1">
      <alignment horizontal="right" indent="2"/>
    </xf>
    <xf numFmtId="41" fontId="28" fillId="43" borderId="144" xfId="1" applyNumberFormat="1" applyFont="1" applyFill="1" applyBorder="1" applyAlignment="1">
      <alignment horizontal="right" indent="2"/>
    </xf>
    <xf numFmtId="41" fontId="6" fillId="43" borderId="144" xfId="1" applyNumberFormat="1" applyFont="1" applyFill="1" applyBorder="1" applyAlignment="1">
      <alignment horizontal="right" indent="2"/>
    </xf>
    <xf numFmtId="41" fontId="6" fillId="43" borderId="145" xfId="1" applyNumberFormat="1" applyFont="1" applyFill="1" applyBorder="1" applyAlignment="1">
      <alignment horizontal="right" indent="1"/>
    </xf>
    <xf numFmtId="41" fontId="23" fillId="43" borderId="145" xfId="1" applyNumberFormat="1" applyFont="1" applyFill="1" applyBorder="1" applyAlignment="1">
      <alignment horizontal="right" indent="1"/>
    </xf>
    <xf numFmtId="41" fontId="6" fillId="43" borderId="147" xfId="1" applyNumberFormat="1" applyFont="1" applyFill="1" applyBorder="1" applyAlignment="1">
      <alignment horizontal="right" indent="1"/>
    </xf>
    <xf numFmtId="41" fontId="20" fillId="43" borderId="150" xfId="1" applyNumberFormat="1" applyFont="1" applyFill="1" applyBorder="1" applyAlignment="1">
      <alignment horizontal="right" indent="1"/>
    </xf>
    <xf numFmtId="41" fontId="6" fillId="43" borderId="151" xfId="1" applyNumberFormat="1" applyFont="1" applyFill="1" applyBorder="1" applyAlignment="1">
      <alignment horizontal="right" indent="1"/>
    </xf>
    <xf numFmtId="9" fontId="22" fillId="43" borderId="144" xfId="3" applyFont="1" applyFill="1" applyBorder="1" applyAlignment="1">
      <alignment horizontal="right" indent="2"/>
    </xf>
    <xf numFmtId="37" fontId="6" fillId="43" borderId="145" xfId="1" applyNumberFormat="1" applyFont="1" applyFill="1" applyBorder="1" applyAlignment="1">
      <alignment horizontal="right" indent="1"/>
    </xf>
    <xf numFmtId="41" fontId="9" fillId="43" borderId="147" xfId="1" applyNumberFormat="1" applyFont="1" applyFill="1" applyBorder="1"/>
    <xf numFmtId="41" fontId="21" fillId="43" borderId="148" xfId="1" applyNumberFormat="1" applyFont="1" applyFill="1" applyBorder="1" applyAlignment="1">
      <alignment horizontal="right" indent="1"/>
    </xf>
    <xf numFmtId="41" fontId="69" fillId="43" borderId="144" xfId="1" applyNumberFormat="1" applyFont="1" applyFill="1" applyBorder="1" applyAlignment="1">
      <alignment horizontal="right"/>
    </xf>
    <xf numFmtId="0" fontId="14" fillId="24" borderId="155" xfId="0" applyFont="1" applyFill="1" applyBorder="1" applyAlignment="1">
      <alignment horizontal="left" vertical="center" wrapText="1" indent="1"/>
    </xf>
    <xf numFmtId="0" fontId="25" fillId="13" borderId="0" xfId="1" applyFont="1" applyFill="1"/>
    <xf numFmtId="0" fontId="7" fillId="13" borderId="0" xfId="1" applyFont="1" applyFill="1"/>
    <xf numFmtId="10" fontId="69" fillId="35" borderId="13" xfId="3" applyNumberFormat="1" applyFont="1" applyFill="1" applyBorder="1" applyAlignment="1">
      <alignment horizontal="right" indent="2"/>
    </xf>
    <xf numFmtId="10" fontId="69" fillId="0" borderId="13" xfId="3" applyNumberFormat="1" applyFont="1" applyFill="1" applyBorder="1" applyAlignment="1">
      <alignment horizontal="right" indent="2"/>
    </xf>
    <xf numFmtId="41" fontId="6" fillId="0" borderId="13" xfId="1" applyNumberFormat="1" applyFont="1" applyBorder="1" applyAlignment="1">
      <alignment horizontal="right" indent="2"/>
    </xf>
    <xf numFmtId="41" fontId="125" fillId="0" borderId="13" xfId="1" applyNumberFormat="1" applyFont="1" applyBorder="1" applyAlignment="1">
      <alignment horizontal="right" indent="2"/>
    </xf>
    <xf numFmtId="0" fontId="28" fillId="0" borderId="13" xfId="1" applyFont="1" applyBorder="1" applyAlignment="1">
      <alignment horizontal="left" indent="3"/>
    </xf>
    <xf numFmtId="0" fontId="126" fillId="0" borderId="13" xfId="1" applyFont="1" applyBorder="1" applyAlignment="1">
      <alignment horizontal="left" vertical="center" indent="1"/>
    </xf>
    <xf numFmtId="0" fontId="126" fillId="0" borderId="5" xfId="1" applyFont="1" applyBorder="1" applyAlignment="1">
      <alignment horizontal="left" vertical="center" indent="1"/>
    </xf>
    <xf numFmtId="0" fontId="126" fillId="0" borderId="149" xfId="1" applyFont="1" applyBorder="1" applyAlignment="1">
      <alignment horizontal="left" vertical="center" indent="1"/>
    </xf>
    <xf numFmtId="0" fontId="120" fillId="0" borderId="38" xfId="1" applyFont="1" applyBorder="1" applyAlignment="1">
      <alignment horizontal="right" wrapText="1"/>
    </xf>
    <xf numFmtId="164" fontId="29" fillId="7" borderId="13" xfId="2" applyNumberFormat="1" applyFont="1" applyFill="1" applyBorder="1" applyAlignment="1">
      <alignment horizontal="right" indent="2"/>
    </xf>
    <xf numFmtId="41" fontId="127" fillId="43" borderId="144" xfId="1" applyNumberFormat="1" applyFont="1" applyFill="1" applyBorder="1" applyAlignment="1">
      <alignment horizontal="right" indent="2"/>
    </xf>
    <xf numFmtId="169" fontId="111" fillId="0" borderId="137" xfId="3" quotePrefix="1" applyNumberFormat="1" applyFont="1" applyBorder="1" applyAlignment="1">
      <alignment horizontal="right"/>
    </xf>
    <xf numFmtId="169" fontId="111" fillId="0" borderId="125" xfId="3" quotePrefix="1" applyNumberFormat="1" applyFont="1" applyBorder="1" applyAlignment="1">
      <alignment horizontal="right"/>
    </xf>
    <xf numFmtId="168" fontId="111" fillId="0" borderId="131" xfId="2" quotePrefix="1" applyNumberFormat="1" applyFont="1" applyBorder="1" applyAlignment="1">
      <alignment horizontal="right"/>
    </xf>
    <xf numFmtId="169" fontId="107" fillId="0" borderId="127" xfId="3" quotePrefix="1" applyNumberFormat="1" applyFont="1" applyBorder="1" applyAlignment="1">
      <alignment horizontal="right"/>
    </xf>
    <xf numFmtId="169" fontId="107" fillId="0" borderId="125" xfId="3" quotePrefix="1" applyNumberFormat="1" applyFont="1" applyBorder="1" applyAlignment="1">
      <alignment horizontal="right"/>
    </xf>
    <xf numFmtId="169" fontId="105" fillId="0" borderId="125" xfId="3" quotePrefix="1" applyNumberFormat="1" applyFont="1" applyBorder="1" applyAlignment="1">
      <alignment horizontal="right"/>
    </xf>
    <xf numFmtId="169" fontId="102" fillId="0" borderId="125" xfId="3" quotePrefix="1" applyNumberFormat="1" applyFont="1" applyBorder="1" applyAlignment="1">
      <alignment horizontal="right"/>
    </xf>
    <xf numFmtId="0" fontId="128" fillId="14" borderId="0" xfId="0" applyFont="1" applyFill="1" applyAlignment="1">
      <alignment horizontal="left" vertical="center"/>
    </xf>
    <xf numFmtId="0" fontId="32" fillId="0" borderId="13" xfId="1" applyFont="1" applyBorder="1"/>
    <xf numFmtId="0" fontId="32" fillId="0" borderId="19" xfId="1" applyFont="1" applyBorder="1"/>
    <xf numFmtId="0" fontId="32" fillId="0" borderId="5" xfId="1" applyFont="1" applyBorder="1"/>
    <xf numFmtId="0" fontId="32" fillId="0" borderId="122" xfId="1" applyFont="1" applyBorder="1"/>
    <xf numFmtId="0" fontId="32" fillId="0" borderId="17" xfId="1" applyFont="1" applyBorder="1"/>
    <xf numFmtId="0" fontId="32" fillId="0" borderId="42" xfId="1" applyFont="1" applyBorder="1"/>
    <xf numFmtId="0" fontId="15" fillId="0" borderId="19" xfId="1" applyFont="1" applyBorder="1" applyAlignment="1">
      <alignment horizontal="right" indent="1"/>
    </xf>
    <xf numFmtId="9" fontId="37" fillId="0" borderId="13" xfId="3" applyFont="1" applyFill="1" applyBorder="1" applyAlignment="1">
      <alignment horizontal="right" indent="2"/>
    </xf>
    <xf numFmtId="9" fontId="37" fillId="0" borderId="5" xfId="3" applyFont="1" applyFill="1" applyBorder="1" applyAlignment="1">
      <alignment horizontal="right" indent="2"/>
    </xf>
    <xf numFmtId="9" fontId="37" fillId="0" borderId="19" xfId="3" applyFont="1" applyFill="1" applyBorder="1" applyAlignment="1">
      <alignment horizontal="right" indent="2"/>
    </xf>
    <xf numFmtId="41" fontId="83" fillId="0" borderId="122" xfId="1" applyNumberFormat="1" applyFont="1" applyBorder="1" applyAlignment="1">
      <alignment horizontal="right" indent="2"/>
    </xf>
    <xf numFmtId="0" fontId="129" fillId="0" borderId="0" xfId="1" applyFont="1"/>
    <xf numFmtId="0" fontId="130" fillId="41" borderId="0" xfId="0" applyFont="1" applyFill="1" applyAlignment="1">
      <alignment horizontal="left" indent="1"/>
    </xf>
    <xf numFmtId="0" fontId="131" fillId="41" borderId="1" xfId="0" applyFont="1" applyFill="1" applyBorder="1" applyAlignment="1">
      <alignment horizontal="left" vertical="center" indent="1"/>
    </xf>
    <xf numFmtId="0" fontId="131" fillId="41" borderId="0" xfId="0" quotePrefix="1" applyFont="1" applyFill="1" applyAlignment="1">
      <alignment horizontal="left" vertical="center" wrapText="1" indent="1"/>
    </xf>
    <xf numFmtId="0" fontId="133" fillId="41" borderId="0" xfId="0" quotePrefix="1" applyFont="1" applyFill="1" applyAlignment="1">
      <alignment horizontal="left" indent="1"/>
    </xf>
    <xf numFmtId="0" fontId="133" fillId="0" borderId="1" xfId="0" quotePrefix="1" applyFont="1" applyBorder="1" applyAlignment="1">
      <alignment horizontal="left" indent="1"/>
    </xf>
    <xf numFmtId="0" fontId="133" fillId="0" borderId="0" xfId="0" quotePrefix="1" applyFont="1" applyAlignment="1">
      <alignment horizontal="left" indent="1"/>
    </xf>
    <xf numFmtId="0" fontId="130" fillId="41" borderId="0" xfId="0" quotePrefix="1" applyFont="1" applyFill="1" applyAlignment="1">
      <alignment horizontal="left" indent="1"/>
    </xf>
    <xf numFmtId="0" fontId="131" fillId="41" borderId="1" xfId="0" applyFont="1" applyFill="1" applyBorder="1" applyAlignment="1">
      <alignment horizontal="left" vertical="center" wrapText="1" indent="1"/>
    </xf>
    <xf numFmtId="0" fontId="131" fillId="41" borderId="0" xfId="0" quotePrefix="1" applyFont="1" applyFill="1" applyAlignment="1">
      <alignment horizontal="left" vertical="top" wrapText="1" indent="1"/>
    </xf>
    <xf numFmtId="0" fontId="130" fillId="0" borderId="1" xfId="0" applyFont="1" applyBorder="1" applyAlignment="1">
      <alignment horizontal="left" indent="1"/>
    </xf>
    <xf numFmtId="0" fontId="131" fillId="41" borderId="1" xfId="0" applyFont="1" applyFill="1" applyBorder="1" applyAlignment="1">
      <alignment horizontal="left" wrapText="1" indent="1"/>
    </xf>
    <xf numFmtId="0" fontId="131" fillId="41" borderId="0" xfId="0" applyFont="1" applyFill="1" applyAlignment="1">
      <alignment horizontal="left" vertical="top" wrapText="1" indent="1"/>
    </xf>
    <xf numFmtId="0" fontId="136" fillId="41" borderId="1" xfId="0" applyFont="1" applyFill="1" applyBorder="1" applyAlignment="1">
      <alignment horizontal="left" vertical="center" indent="1"/>
    </xf>
    <xf numFmtId="0" fontId="136" fillId="41" borderId="0" xfId="0" applyFont="1" applyFill="1" applyAlignment="1">
      <alignment horizontal="left" vertical="center" indent="1"/>
    </xf>
    <xf numFmtId="169" fontId="137" fillId="0" borderId="132" xfId="3" quotePrefix="1" applyNumberFormat="1" applyFont="1" applyBorder="1" applyAlignment="1">
      <alignment horizontal="right"/>
    </xf>
    <xf numFmtId="9" fontId="28" fillId="25" borderId="13" xfId="3" applyFont="1" applyFill="1" applyBorder="1" applyAlignment="1">
      <alignment horizontal="right" indent="2"/>
    </xf>
    <xf numFmtId="9" fontId="28" fillId="25" borderId="5" xfId="3" applyFont="1" applyFill="1" applyBorder="1" applyAlignment="1">
      <alignment horizontal="right" indent="2"/>
    </xf>
    <xf numFmtId="0" fontId="9" fillId="0" borderId="17" xfId="1" applyFont="1" applyBorder="1"/>
    <xf numFmtId="164" fontId="55" fillId="7" borderId="17" xfId="2" applyNumberFormat="1" applyFont="1" applyFill="1" applyBorder="1" applyAlignment="1">
      <alignment horizontal="right" indent="2"/>
    </xf>
    <xf numFmtId="41" fontId="34" fillId="7" borderId="17" xfId="1" applyNumberFormat="1" applyFont="1" applyFill="1" applyBorder="1" applyAlignment="1">
      <alignment horizontal="left"/>
    </xf>
    <xf numFmtId="0" fontId="87" fillId="0" borderId="17" xfId="1" applyFont="1" applyBorder="1"/>
    <xf numFmtId="0" fontId="86" fillId="0" borderId="19" xfId="1" applyFont="1" applyBorder="1" applyAlignment="1">
      <alignment horizontal="left" vertical="center" indent="1"/>
    </xf>
    <xf numFmtId="41" fontId="9" fillId="0" borderId="19" xfId="1" applyNumberFormat="1" applyFont="1" applyBorder="1" applyAlignment="1">
      <alignment horizontal="center"/>
    </xf>
    <xf numFmtId="41" fontId="6" fillId="4" borderId="17" xfId="1" applyNumberFormat="1" applyFont="1" applyFill="1" applyBorder="1" applyAlignment="1">
      <alignment horizontal="right" indent="2"/>
    </xf>
    <xf numFmtId="2" fontId="35" fillId="0" borderId="19" xfId="2" applyNumberFormat="1" applyFont="1" applyFill="1" applyBorder="1" applyAlignment="1">
      <alignment horizontal="right" indent="3"/>
    </xf>
    <xf numFmtId="41" fontId="69" fillId="0" borderId="19" xfId="1" applyNumberFormat="1" applyFont="1" applyBorder="1" applyAlignment="1">
      <alignment horizontal="right" indent="2"/>
    </xf>
    <xf numFmtId="41" fontId="22" fillId="7" borderId="20" xfId="1" applyNumberFormat="1" applyFont="1" applyFill="1" applyBorder="1" applyAlignment="1">
      <alignment horizontal="right" indent="2"/>
    </xf>
    <xf numFmtId="41" fontId="6" fillId="4" borderId="156" xfId="1" applyNumberFormat="1" applyFont="1" applyFill="1" applyBorder="1" applyAlignment="1">
      <alignment horizontal="right" indent="2"/>
    </xf>
    <xf numFmtId="41" fontId="79" fillId="0" borderId="157" xfId="1" applyNumberFormat="1" applyFont="1" applyBorder="1" applyAlignment="1">
      <alignment horizontal="right" indent="1"/>
    </xf>
    <xf numFmtId="41" fontId="6" fillId="0" borderId="158" xfId="1" applyNumberFormat="1" applyFont="1" applyBorder="1" applyAlignment="1">
      <alignment horizontal="right" indent="1"/>
    </xf>
    <xf numFmtId="41" fontId="6" fillId="0" borderId="17" xfId="1" applyNumberFormat="1" applyFont="1" applyBorder="1" applyAlignment="1">
      <alignment horizontal="right" indent="1"/>
    </xf>
    <xf numFmtId="9" fontId="22" fillId="7" borderId="19" xfId="3" applyFont="1" applyFill="1" applyBorder="1" applyAlignment="1">
      <alignment horizontal="right" indent="2"/>
    </xf>
    <xf numFmtId="0" fontId="138" fillId="32" borderId="13" xfId="1" applyFont="1" applyFill="1" applyBorder="1" applyAlignment="1">
      <alignment horizontal="left" indent="3"/>
    </xf>
    <xf numFmtId="0" fontId="138" fillId="32" borderId="17" xfId="1" applyFont="1" applyFill="1" applyBorder="1" applyAlignment="1">
      <alignment horizontal="left" indent="3"/>
    </xf>
    <xf numFmtId="10" fontId="69" fillId="35" borderId="19" xfId="3" applyNumberFormat="1" applyFont="1" applyFill="1" applyBorder="1" applyAlignment="1">
      <alignment horizontal="right" indent="2"/>
    </xf>
    <xf numFmtId="9" fontId="69" fillId="25" borderId="13" xfId="3" applyFont="1" applyFill="1" applyBorder="1" applyAlignment="1">
      <alignment horizontal="right" indent="2"/>
    </xf>
    <xf numFmtId="41" fontId="69" fillId="4" borderId="13" xfId="1" applyNumberFormat="1" applyFont="1" applyFill="1" applyBorder="1" applyAlignment="1">
      <alignment horizontal="right" indent="2"/>
    </xf>
    <xf numFmtId="41" fontId="69" fillId="4" borderId="17" xfId="1" applyNumberFormat="1" applyFont="1" applyFill="1" applyBorder="1" applyAlignment="1">
      <alignment horizontal="right" indent="2"/>
    </xf>
    <xf numFmtId="0" fontId="8" fillId="0" borderId="13" xfId="1" applyFont="1" applyBorder="1" applyAlignment="1">
      <alignment horizontal="left" vertical="center" indent="2"/>
    </xf>
    <xf numFmtId="0" fontId="8" fillId="0" borderId="17" xfId="1" applyFont="1" applyBorder="1" applyAlignment="1">
      <alignment horizontal="left" vertical="center" indent="2"/>
    </xf>
    <xf numFmtId="0" fontId="8" fillId="0" borderId="122" xfId="1" applyFont="1" applyBorder="1" applyAlignment="1">
      <alignment horizontal="left" vertical="center" indent="2"/>
    </xf>
    <xf numFmtId="0" fontId="8" fillId="0" borderId="123" xfId="1" applyFont="1" applyBorder="1" applyAlignment="1">
      <alignment horizontal="left" vertical="center" indent="2"/>
    </xf>
    <xf numFmtId="41" fontId="69" fillId="0" borderId="13" xfId="1" applyNumberFormat="1" applyFont="1" applyBorder="1" applyAlignment="1">
      <alignment horizontal="right"/>
    </xf>
    <xf numFmtId="41" fontId="69" fillId="0" borderId="17" xfId="1" applyNumberFormat="1" applyFont="1" applyBorder="1" applyAlignment="1">
      <alignment horizontal="right"/>
    </xf>
    <xf numFmtId="41" fontId="93" fillId="0" borderId="13" xfId="1" applyNumberFormat="1" applyFont="1" applyBorder="1" applyAlignment="1">
      <alignment horizontal="right" indent="2"/>
    </xf>
    <xf numFmtId="41" fontId="93" fillId="0" borderId="122" xfId="1" applyNumberFormat="1" applyFont="1" applyBorder="1" applyAlignment="1">
      <alignment horizontal="right" indent="2"/>
    </xf>
    <xf numFmtId="41" fontId="93" fillId="0" borderId="123" xfId="1" applyNumberFormat="1" applyFont="1" applyBorder="1" applyAlignment="1">
      <alignment horizontal="right" indent="2"/>
    </xf>
    <xf numFmtId="41" fontId="87" fillId="13" borderId="17" xfId="1" applyNumberFormat="1" applyFont="1" applyFill="1" applyBorder="1" applyAlignment="1">
      <alignment horizontal="right" wrapText="1" indent="2"/>
    </xf>
    <xf numFmtId="0" fontId="118" fillId="45" borderId="159" xfId="0" applyFont="1" applyFill="1" applyBorder="1"/>
    <xf numFmtId="0" fontId="118" fillId="45" borderId="160" xfId="0" applyFont="1" applyFill="1" applyBorder="1"/>
    <xf numFmtId="0" fontId="118" fillId="45" borderId="161" xfId="0" applyFont="1" applyFill="1" applyBorder="1"/>
    <xf numFmtId="0" fontId="0" fillId="0" borderId="162" xfId="0" applyBorder="1"/>
    <xf numFmtId="0" fontId="0" fillId="0" borderId="163" xfId="0" applyBorder="1"/>
    <xf numFmtId="0" fontId="0" fillId="0" borderId="164" xfId="0" applyBorder="1"/>
    <xf numFmtId="0" fontId="0" fillId="0" borderId="165" xfId="0" applyBorder="1"/>
    <xf numFmtId="0" fontId="0" fillId="0" borderId="166" xfId="0" applyBorder="1"/>
    <xf numFmtId="0" fontId="0" fillId="0" borderId="167" xfId="0" applyBorder="1"/>
    <xf numFmtId="0" fontId="0" fillId="0" borderId="168" xfId="0" applyBorder="1"/>
    <xf numFmtId="0" fontId="0" fillId="0" borderId="169" xfId="0" applyBorder="1"/>
    <xf numFmtId="0" fontId="0" fillId="0" borderId="170" xfId="0" applyBorder="1"/>
    <xf numFmtId="0" fontId="0" fillId="0" borderId="171" xfId="0" applyBorder="1"/>
    <xf numFmtId="0" fontId="0" fillId="0" borderId="172" xfId="0" applyBorder="1"/>
    <xf numFmtId="0" fontId="0" fillId="0" borderId="173" xfId="0" applyBorder="1"/>
    <xf numFmtId="0" fontId="141" fillId="0" borderId="178" xfId="0" applyFont="1" applyBorder="1" applyAlignment="1">
      <alignment horizontal="center" vertical="top" wrapText="1"/>
    </xf>
    <xf numFmtId="0" fontId="141" fillId="0" borderId="179" xfId="0" applyFont="1" applyBorder="1" applyAlignment="1">
      <alignment horizontal="center" vertical="top" wrapText="1"/>
    </xf>
    <xf numFmtId="0" fontId="141" fillId="0" borderId="180" xfId="0" applyFont="1" applyBorder="1" applyAlignment="1">
      <alignment horizontal="center" vertical="top" wrapText="1"/>
    </xf>
    <xf numFmtId="1" fontId="142" fillId="48" borderId="182" xfId="0" applyNumberFormat="1" applyFont="1" applyFill="1" applyBorder="1" applyAlignment="1">
      <alignment horizontal="center" vertical="center" shrinkToFit="1"/>
    </xf>
    <xf numFmtId="0" fontId="142" fillId="48" borderId="183" xfId="0" applyFont="1" applyFill="1" applyBorder="1" applyAlignment="1">
      <alignment horizontal="center" vertical="center" wrapText="1"/>
    </xf>
    <xf numFmtId="1" fontId="142" fillId="48" borderId="184" xfId="0" applyNumberFormat="1" applyFont="1" applyFill="1" applyBorder="1" applyAlignment="1">
      <alignment horizontal="center" vertical="center" shrinkToFit="1"/>
    </xf>
    <xf numFmtId="9" fontId="143" fillId="48" borderId="185" xfId="0" applyNumberFormat="1" applyFont="1" applyFill="1" applyBorder="1" applyAlignment="1">
      <alignment horizontal="center" vertical="center" shrinkToFit="1"/>
    </xf>
    <xf numFmtId="9" fontId="44" fillId="48" borderId="185" xfId="0" applyNumberFormat="1" applyFont="1" applyFill="1" applyBorder="1" applyAlignment="1">
      <alignment horizontal="center" vertical="center" shrinkToFit="1"/>
    </xf>
    <xf numFmtId="1" fontId="142" fillId="49" borderId="188" xfId="0" applyNumberFormat="1" applyFont="1" applyFill="1" applyBorder="1" applyAlignment="1">
      <alignment horizontal="center" vertical="center" shrinkToFit="1"/>
    </xf>
    <xf numFmtId="0" fontId="142" fillId="49" borderId="189" xfId="0" applyFont="1" applyFill="1" applyBorder="1" applyAlignment="1">
      <alignment horizontal="center" vertical="center" wrapText="1"/>
    </xf>
    <xf numFmtId="9" fontId="143" fillId="49" borderId="190" xfId="0" applyNumberFormat="1" applyFont="1" applyFill="1" applyBorder="1" applyAlignment="1">
      <alignment horizontal="center" vertical="center" shrinkToFit="1"/>
    </xf>
    <xf numFmtId="9" fontId="44" fillId="49" borderId="190" xfId="0" applyNumberFormat="1" applyFont="1" applyFill="1" applyBorder="1" applyAlignment="1">
      <alignment horizontal="center" vertical="center" shrinkToFit="1"/>
    </xf>
    <xf numFmtId="0" fontId="142" fillId="49" borderId="191" xfId="0" applyFont="1" applyFill="1" applyBorder="1" applyAlignment="1">
      <alignment horizontal="center" vertical="center" wrapText="1"/>
    </xf>
    <xf numFmtId="0" fontId="142" fillId="49" borderId="192" xfId="0" applyFont="1" applyFill="1" applyBorder="1" applyAlignment="1">
      <alignment horizontal="center" vertical="center" wrapText="1"/>
    </xf>
    <xf numFmtId="0" fontId="144" fillId="49" borderId="193" xfId="0" applyFont="1" applyFill="1" applyBorder="1" applyAlignment="1">
      <alignment horizontal="center" vertical="center" wrapText="1"/>
    </xf>
    <xf numFmtId="1" fontId="142" fillId="5" borderId="188" xfId="0" applyNumberFormat="1" applyFont="1" applyFill="1" applyBorder="1" applyAlignment="1">
      <alignment horizontal="center" vertical="center" shrinkToFit="1"/>
    </xf>
    <xf numFmtId="0" fontId="142" fillId="5" borderId="189" xfId="0" applyFont="1" applyFill="1" applyBorder="1" applyAlignment="1">
      <alignment horizontal="center" vertical="center" wrapText="1"/>
    </xf>
    <xf numFmtId="9" fontId="143" fillId="5" borderId="190" xfId="0" applyNumberFormat="1" applyFont="1" applyFill="1" applyBorder="1" applyAlignment="1">
      <alignment horizontal="center" vertical="center" shrinkToFit="1"/>
    </xf>
    <xf numFmtId="9" fontId="44" fillId="5" borderId="190" xfId="0" applyNumberFormat="1" applyFont="1" applyFill="1" applyBorder="1" applyAlignment="1">
      <alignment horizontal="center" vertical="center" shrinkToFit="1"/>
    </xf>
    <xf numFmtId="0" fontId="142" fillId="5" borderId="198" xfId="0" applyFont="1" applyFill="1" applyBorder="1" applyAlignment="1">
      <alignment horizontal="center" vertical="center" wrapText="1"/>
    </xf>
    <xf numFmtId="0" fontId="142" fillId="5" borderId="199" xfId="0" applyFont="1" applyFill="1" applyBorder="1" applyAlignment="1">
      <alignment horizontal="center" vertical="center" wrapText="1"/>
    </xf>
    <xf numFmtId="0" fontId="144" fillId="5" borderId="200" xfId="0" applyFont="1" applyFill="1" applyBorder="1" applyAlignment="1">
      <alignment horizontal="center" vertical="center" wrapText="1"/>
    </xf>
    <xf numFmtId="0" fontId="142" fillId="5" borderId="191" xfId="0" applyFont="1" applyFill="1" applyBorder="1" applyAlignment="1">
      <alignment horizontal="center" vertical="center" wrapText="1"/>
    </xf>
    <xf numFmtId="0" fontId="142" fillId="5" borderId="192" xfId="0" applyFont="1" applyFill="1" applyBorder="1" applyAlignment="1">
      <alignment horizontal="center" vertical="center" wrapText="1"/>
    </xf>
    <xf numFmtId="0" fontId="144" fillId="5" borderId="193" xfId="0" applyFont="1" applyFill="1" applyBorder="1" applyAlignment="1">
      <alignment horizontal="center" vertical="center" wrapText="1"/>
    </xf>
    <xf numFmtId="0" fontId="0" fillId="0" borderId="201" xfId="0" applyBorder="1"/>
    <xf numFmtId="0" fontId="0" fillId="0" borderId="142" xfId="0" applyBorder="1"/>
    <xf numFmtId="0" fontId="0" fillId="0" borderId="202" xfId="0" applyBorder="1"/>
    <xf numFmtId="0" fontId="0" fillId="0" borderId="203" xfId="0" applyBorder="1"/>
    <xf numFmtId="0" fontId="0" fillId="0" borderId="204" xfId="0" applyBorder="1"/>
    <xf numFmtId="0" fontId="0" fillId="0" borderId="205" xfId="0" applyBorder="1"/>
    <xf numFmtId="0" fontId="0" fillId="0" borderId="206" xfId="0" applyBorder="1"/>
    <xf numFmtId="0" fontId="0" fillId="0" borderId="207" xfId="0" applyBorder="1"/>
    <xf numFmtId="0" fontId="0" fillId="0" borderId="208" xfId="0" applyBorder="1"/>
    <xf numFmtId="37" fontId="17" fillId="3" borderId="104" xfId="2" applyNumberFormat="1" applyFont="1" applyFill="1" applyBorder="1"/>
    <xf numFmtId="0" fontId="149" fillId="0" borderId="109" xfId="0" applyFont="1" applyBorder="1"/>
    <xf numFmtId="0" fontId="68" fillId="50" borderId="22" xfId="1" applyFont="1" applyFill="1" applyBorder="1" applyAlignment="1">
      <alignment horizontal="center" wrapText="1"/>
    </xf>
    <xf numFmtId="0" fontId="62" fillId="24" borderId="155" xfId="0" applyFont="1" applyFill="1" applyBorder="1" applyAlignment="1">
      <alignment horizontal="left" vertical="center" wrapText="1" indent="1"/>
    </xf>
    <xf numFmtId="0" fontId="0" fillId="34" borderId="0" xfId="0" applyFill="1" applyAlignment="1">
      <alignment horizontal="left" vertical="center" indent="1"/>
    </xf>
    <xf numFmtId="0" fontId="0" fillId="34" borderId="0" xfId="0" applyFill="1" applyAlignment="1">
      <alignment horizontal="left" vertical="top" wrapText="1"/>
    </xf>
    <xf numFmtId="0" fontId="0" fillId="34" borderId="0" xfId="0" applyFill="1"/>
    <xf numFmtId="0" fontId="0" fillId="24" borderId="0" xfId="0" applyFill="1" applyAlignment="1">
      <alignment horizontal="left" indent="1"/>
    </xf>
    <xf numFmtId="0" fontId="0" fillId="51" borderId="0" xfId="0" applyFill="1"/>
    <xf numFmtId="0" fontId="0" fillId="51" borderId="0" xfId="0" applyFill="1" applyAlignment="1">
      <alignment horizontal="left" vertical="center" indent="1"/>
    </xf>
    <xf numFmtId="0" fontId="0" fillId="51" borderId="0" xfId="0" applyFill="1" applyAlignment="1">
      <alignment horizontal="left" vertical="top" wrapText="1"/>
    </xf>
    <xf numFmtId="0" fontId="68" fillId="51" borderId="0" xfId="0" applyFont="1" applyFill="1" applyAlignment="1">
      <alignment horizontal="left" vertical="center" indent="1"/>
    </xf>
    <xf numFmtId="0" fontId="93" fillId="41" borderId="0" xfId="0" quotePrefix="1" applyFont="1" applyFill="1" applyAlignment="1">
      <alignment horizontal="left" indent="1"/>
    </xf>
    <xf numFmtId="0" fontId="97" fillId="41" borderId="1" xfId="0" applyFont="1" applyFill="1" applyBorder="1" applyAlignment="1">
      <alignment horizontal="left" vertical="center" wrapText="1" indent="1"/>
    </xf>
    <xf numFmtId="0" fontId="151" fillId="41" borderId="0" xfId="0" quotePrefix="1" applyFont="1" applyFill="1" applyAlignment="1">
      <alignment horizontal="left" vertical="top" wrapText="1" indent="1"/>
    </xf>
    <xf numFmtId="0" fontId="93" fillId="41" borderId="0" xfId="0" applyFont="1" applyFill="1" applyAlignment="1">
      <alignment horizontal="left" indent="1"/>
    </xf>
    <xf numFmtId="0" fontId="124" fillId="41" borderId="0" xfId="0" quotePrefix="1" applyFont="1" applyFill="1" applyAlignment="1">
      <alignment horizontal="left" vertical="top" wrapText="1" indent="1"/>
    </xf>
    <xf numFmtId="0" fontId="153" fillId="41" borderId="1" xfId="0" applyFont="1" applyFill="1" applyBorder="1" applyAlignment="1">
      <alignment horizontal="left" vertical="center" wrapText="1" indent="1"/>
    </xf>
    <xf numFmtId="0" fontId="97" fillId="41" borderId="0" xfId="0" quotePrefix="1" applyFont="1" applyFill="1" applyAlignment="1">
      <alignment horizontal="left" vertical="top" wrapText="1" indent="1"/>
    </xf>
    <xf numFmtId="0" fontId="97" fillId="41" borderId="0" xfId="0" quotePrefix="1" applyFont="1" applyFill="1" applyAlignment="1">
      <alignment horizontal="left" vertical="top" wrapText="1" indent="3"/>
    </xf>
    <xf numFmtId="37" fontId="17" fillId="0" borderId="106" xfId="2" applyNumberFormat="1" applyFont="1" applyFill="1" applyBorder="1"/>
    <xf numFmtId="0" fontId="85" fillId="50" borderId="22" xfId="1" applyFont="1" applyFill="1" applyBorder="1" applyAlignment="1">
      <alignment horizontal="center" wrapText="1"/>
    </xf>
    <xf numFmtId="0" fontId="67" fillId="0" borderId="204" xfId="0" quotePrefix="1" applyFont="1" applyBorder="1" applyAlignment="1">
      <alignment horizontal="left" indent="1"/>
    </xf>
    <xf numFmtId="0" fontId="0" fillId="0" borderId="204" xfId="0" applyBorder="1" applyAlignment="1">
      <alignment horizontal="left" indent="1"/>
    </xf>
    <xf numFmtId="0" fontId="44" fillId="44" borderId="0" xfId="0" quotePrefix="1" applyFont="1" applyFill="1" applyAlignment="1">
      <alignment horizontal="left" vertical="top" wrapText="1" indent="1"/>
    </xf>
    <xf numFmtId="0" fontId="68" fillId="13" borderId="204" xfId="0" applyFont="1" applyFill="1" applyBorder="1"/>
    <xf numFmtId="0" fontId="93" fillId="3" borderId="204" xfId="0" applyFont="1" applyFill="1" applyBorder="1"/>
    <xf numFmtId="0" fontId="93" fillId="0" borderId="155" xfId="0" applyFont="1" applyBorder="1"/>
    <xf numFmtId="0" fontId="0" fillId="0" borderId="155" xfId="0" applyBorder="1"/>
    <xf numFmtId="0" fontId="0" fillId="0" borderId="155" xfId="0" applyBorder="1" applyAlignment="1">
      <alignment horizontal="left" indent="1"/>
    </xf>
    <xf numFmtId="0" fontId="85" fillId="52" borderId="0" xfId="0" quotePrefix="1" applyFont="1" applyFill="1" applyAlignment="1">
      <alignment horizontal="left" vertical="top" wrapText="1" indent="1"/>
    </xf>
    <xf numFmtId="0" fontId="0" fillId="4" borderId="22" xfId="1" applyFont="1" applyFill="1" applyBorder="1" applyAlignment="1">
      <alignment horizontal="center" wrapText="1"/>
    </xf>
    <xf numFmtId="0" fontId="14" fillId="0" borderId="209" xfId="0" applyFont="1" applyBorder="1" applyAlignment="1">
      <alignment horizontal="right"/>
    </xf>
    <xf numFmtId="0" fontId="64" fillId="0" borderId="209" xfId="0" applyFont="1" applyBorder="1" applyAlignment="1">
      <alignment horizontal="right"/>
    </xf>
    <xf numFmtId="37" fontId="17" fillId="3" borderId="209" xfId="2" applyNumberFormat="1" applyFont="1" applyFill="1" applyBorder="1"/>
    <xf numFmtId="0" fontId="65" fillId="0" borderId="209" xfId="0" applyFont="1" applyBorder="1" applyAlignment="1">
      <alignment horizontal="left" indent="2"/>
    </xf>
    <xf numFmtId="0" fontId="14" fillId="0" borderId="95" xfId="0" applyFont="1" applyBorder="1" applyAlignment="1">
      <alignment horizontal="right"/>
    </xf>
    <xf numFmtId="0" fontId="64" fillId="0" borderId="95" xfId="0" applyFont="1" applyBorder="1" applyAlignment="1">
      <alignment horizontal="right"/>
    </xf>
    <xf numFmtId="37" fontId="17" fillId="0" borderId="95" xfId="2" applyNumberFormat="1" applyFont="1" applyFill="1" applyBorder="1"/>
    <xf numFmtId="0" fontId="65" fillId="0" borderId="95" xfId="0" applyFont="1" applyBorder="1" applyAlignment="1">
      <alignment horizontal="left" indent="2"/>
    </xf>
    <xf numFmtId="0" fontId="90" fillId="0" borderId="0" xfId="1" applyFont="1"/>
    <xf numFmtId="37" fontId="17" fillId="0" borderId="209" xfId="2" applyNumberFormat="1" applyFont="1" applyFill="1" applyBorder="1"/>
    <xf numFmtId="41" fontId="97" fillId="5" borderId="13" xfId="1" applyNumberFormat="1" applyFont="1" applyFill="1" applyBorder="1" applyAlignment="1">
      <alignment horizontal="right" indent="1"/>
    </xf>
    <xf numFmtId="41" fontId="97" fillId="5" borderId="17" xfId="1" applyNumberFormat="1" applyFont="1" applyFill="1" applyBorder="1" applyAlignment="1">
      <alignment horizontal="right" indent="1"/>
    </xf>
    <xf numFmtId="41" fontId="97" fillId="27" borderId="13" xfId="1" applyNumberFormat="1" applyFont="1" applyFill="1" applyBorder="1" applyAlignment="1">
      <alignment horizontal="right" indent="1"/>
    </xf>
    <xf numFmtId="41" fontId="97" fillId="27" borderId="122" xfId="1" applyNumberFormat="1" applyFont="1" applyFill="1" applyBorder="1" applyAlignment="1">
      <alignment horizontal="right" indent="1"/>
    </xf>
    <xf numFmtId="41" fontId="97" fillId="27" borderId="123" xfId="1" applyNumberFormat="1" applyFont="1" applyFill="1" applyBorder="1" applyAlignment="1">
      <alignment horizontal="right" indent="1"/>
    </xf>
    <xf numFmtId="41" fontId="97" fillId="5" borderId="120" xfId="1" applyNumberFormat="1" applyFont="1" applyFill="1" applyBorder="1" applyAlignment="1">
      <alignment horizontal="right" vertical="center"/>
    </xf>
    <xf numFmtId="41" fontId="82" fillId="0" borderId="107" xfId="1" applyNumberFormat="1" applyFont="1" applyBorder="1" applyAlignment="1">
      <alignment horizontal="left"/>
    </xf>
    <xf numFmtId="0" fontId="52" fillId="15" borderId="0" xfId="1" applyFont="1" applyFill="1" applyAlignment="1">
      <alignment horizontal="center" vertical="top" wrapText="1"/>
    </xf>
    <xf numFmtId="0" fontId="51" fillId="6" borderId="10" xfId="1" applyFont="1" applyFill="1" applyBorder="1" applyAlignment="1">
      <alignment horizontal="center" vertical="center"/>
    </xf>
    <xf numFmtId="0" fontId="52" fillId="13" borderId="67" xfId="1" applyFont="1" applyFill="1" applyBorder="1" applyAlignment="1">
      <alignment horizontal="center" vertical="top"/>
    </xf>
    <xf numFmtId="0" fontId="59" fillId="15" borderId="0" xfId="1" applyFont="1" applyFill="1" applyAlignment="1">
      <alignment horizontal="center" vertical="top" wrapText="1"/>
    </xf>
    <xf numFmtId="0" fontId="43" fillId="17" borderId="0" xfId="0" applyFont="1" applyFill="1" applyAlignment="1">
      <alignment horizontal="center"/>
    </xf>
    <xf numFmtId="0" fontId="46" fillId="15" borderId="53" xfId="0" applyFont="1" applyFill="1" applyBorder="1" applyAlignment="1">
      <alignment horizontal="center"/>
    </xf>
    <xf numFmtId="0" fontId="43" fillId="17" borderId="1" xfId="0" applyFont="1" applyFill="1" applyBorder="1" applyAlignment="1">
      <alignment horizontal="center"/>
    </xf>
    <xf numFmtId="0" fontId="7" fillId="0" borderId="67" xfId="1" applyFont="1" applyBorder="1" applyAlignment="1">
      <alignment horizontal="center"/>
    </xf>
    <xf numFmtId="0" fontId="142" fillId="49" borderId="186" xfId="0" applyFont="1" applyFill="1" applyBorder="1" applyAlignment="1">
      <alignment horizontal="center" vertical="center" wrapText="1"/>
    </xf>
    <xf numFmtId="0" fontId="142" fillId="49" borderId="178" xfId="0" applyFont="1" applyFill="1" applyBorder="1" applyAlignment="1">
      <alignment horizontal="center" vertical="center" wrapText="1"/>
    </xf>
    <xf numFmtId="0" fontId="142" fillId="49" borderId="187" xfId="0" applyFont="1" applyFill="1" applyBorder="1" applyAlignment="1">
      <alignment horizontal="center" vertical="center" wrapText="1"/>
    </xf>
    <xf numFmtId="0" fontId="142" fillId="49" borderId="179" xfId="0" applyFont="1" applyFill="1" applyBorder="1" applyAlignment="1">
      <alignment horizontal="center" vertical="center" wrapText="1"/>
    </xf>
    <xf numFmtId="0" fontId="142" fillId="5" borderId="194" xfId="0" applyFont="1" applyFill="1" applyBorder="1" applyAlignment="1">
      <alignment horizontal="center" vertical="center" wrapText="1"/>
    </xf>
    <xf numFmtId="0" fontId="142" fillId="5" borderId="196" xfId="0" applyFont="1" applyFill="1" applyBorder="1" applyAlignment="1">
      <alignment horizontal="center" vertical="center" wrapText="1"/>
    </xf>
    <xf numFmtId="0" fontId="142" fillId="5" borderId="178" xfId="0" applyFont="1" applyFill="1" applyBorder="1" applyAlignment="1">
      <alignment horizontal="center" vertical="center" wrapText="1"/>
    </xf>
    <xf numFmtId="0" fontId="142" fillId="5" borderId="195" xfId="0" applyFont="1" applyFill="1" applyBorder="1" applyAlignment="1">
      <alignment horizontal="center" vertical="center" wrapText="1"/>
    </xf>
    <xf numFmtId="0" fontId="142" fillId="5" borderId="197" xfId="0" applyFont="1" applyFill="1" applyBorder="1" applyAlignment="1">
      <alignment horizontal="center" vertical="center" wrapText="1"/>
    </xf>
    <xf numFmtId="0" fontId="142" fillId="5" borderId="179" xfId="0" applyFont="1" applyFill="1" applyBorder="1" applyAlignment="1">
      <alignment horizontal="center" vertical="center" wrapText="1"/>
    </xf>
    <xf numFmtId="0" fontId="139" fillId="46" borderId="0" xfId="0" applyFont="1" applyFill="1" applyAlignment="1">
      <alignment horizontal="center" vertical="center" wrapText="1"/>
    </xf>
    <xf numFmtId="0" fontId="140" fillId="47" borderId="0" xfId="0" applyFont="1" applyFill="1" applyAlignment="1">
      <alignment horizontal="center" vertical="center" wrapText="1"/>
    </xf>
    <xf numFmtId="0" fontId="141" fillId="0" borderId="174" xfId="0" applyFont="1" applyBorder="1" applyAlignment="1">
      <alignment horizontal="center" vertical="top" wrapText="1"/>
    </xf>
    <xf numFmtId="0" fontId="141" fillId="0" borderId="175" xfId="0" applyFont="1" applyBorder="1" applyAlignment="1">
      <alignment horizontal="center" vertical="top" wrapText="1"/>
    </xf>
    <xf numFmtId="0" fontId="141" fillId="0" borderId="176" xfId="0" applyFont="1" applyBorder="1" applyAlignment="1">
      <alignment horizontal="center" vertical="top" wrapText="1"/>
    </xf>
    <xf numFmtId="0" fontId="93" fillId="0" borderId="177" xfId="0" applyFont="1" applyBorder="1" applyAlignment="1">
      <alignment horizontal="center" vertical="center" wrapText="1"/>
    </xf>
    <xf numFmtId="0" fontId="93" fillId="0" borderId="181" xfId="0" applyFont="1" applyBorder="1" applyAlignment="1">
      <alignment horizontal="center" vertical="center" wrapText="1"/>
    </xf>
    <xf numFmtId="0" fontId="118" fillId="39" borderId="0" xfId="0" applyFont="1" applyFill="1" applyAlignment="1">
      <alignment horizontal="center" wrapText="1"/>
    </xf>
    <xf numFmtId="168" fontId="109" fillId="37" borderId="138" xfId="2" quotePrefix="1" applyNumberFormat="1" applyFont="1" applyFill="1" applyBorder="1" applyAlignment="1">
      <alignment horizontal="center" vertical="center"/>
    </xf>
    <xf numFmtId="168" fontId="109" fillId="37" borderId="136" xfId="2" quotePrefix="1" applyNumberFormat="1" applyFont="1" applyFill="1" applyBorder="1" applyAlignment="1">
      <alignment horizontal="center" vertical="center"/>
    </xf>
    <xf numFmtId="168" fontId="109" fillId="37" borderId="133" xfId="2" quotePrefix="1" applyNumberFormat="1" applyFont="1" applyFill="1" applyBorder="1" applyAlignment="1">
      <alignment horizontal="center" vertical="center"/>
    </xf>
    <xf numFmtId="0" fontId="91" fillId="39" borderId="0" xfId="0" applyFont="1" applyFill="1" applyAlignment="1">
      <alignment horizontal="center" vertical="top" wrapText="1"/>
    </xf>
    <xf numFmtId="0" fontId="117" fillId="39" borderId="0" xfId="0" applyFont="1" applyFill="1" applyAlignment="1">
      <alignment horizontal="center" vertical="top" wrapText="1"/>
    </xf>
    <xf numFmtId="0" fontId="115" fillId="39" borderId="0" xfId="0" applyFont="1" applyFill="1" applyAlignment="1">
      <alignment horizontal="left" vertical="center" indent="1"/>
    </xf>
    <xf numFmtId="0" fontId="115" fillId="39" borderId="143" xfId="0" applyFont="1" applyFill="1" applyBorder="1" applyAlignment="1">
      <alignment horizontal="center" vertical="center"/>
    </xf>
  </cellXfs>
  <cellStyles count="8">
    <cellStyle name="Comma" xfId="2" builtinId="3"/>
    <cellStyle name="Comma 2" xfId="6" xr:uid="{00000000-0005-0000-0000-000001000000}"/>
    <cellStyle name="Comma 3 3" xfId="5" xr:uid="{00000000-0005-0000-0000-000002000000}"/>
    <cellStyle name="Comma 9" xfId="7" xr:uid="{00000000-0005-0000-0000-000003000000}"/>
    <cellStyle name="Normal" xfId="0" builtinId="0"/>
    <cellStyle name="Normal 2" xfId="1" xr:uid="{00000000-0005-0000-0000-000005000000}"/>
    <cellStyle name="Normal 2 4" xfId="4" xr:uid="{00000000-0005-0000-0000-000006000000}"/>
    <cellStyle name="Percent" xfId="3" builtinId="5"/>
  </cellStyles>
  <dxfs count="0"/>
  <tableStyles count="0" defaultTableStyle="TableStyleMedium2" defaultPivotStyle="PivotStyleLight16"/>
  <colors>
    <mruColors>
      <color rgb="FFFFFFCC"/>
      <color rgb="FFCCFF99"/>
      <color rgb="FF99FF99"/>
      <color rgb="FFFFC4C3"/>
      <color rgb="FFFFC4C4"/>
      <color rgb="FFFF8080"/>
      <color rgb="FF0000FF"/>
      <color rgb="FFFFD4D4"/>
      <color rgb="FFFFCC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 w="6350">
          <a:solidFill>
            <a:srgbClr val="FF0000"/>
          </a:solidFill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a:spPr>
      <a:bodyPr vertOverflow="clip" horzOverflow="clip" lIns="45720" rIns="45720" bIns="45720" rtlCol="0" anchor="ctr"/>
      <a:lstStyle>
        <a:defPPr algn="ctr">
          <a:defRPr sz="1100" b="0">
            <a:solidFill>
              <a:srgbClr val="FF0000"/>
            </a:solidFill>
            <a:latin typeface="+mn-lt"/>
          </a:defRPr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8080"/>
  </sheetPr>
  <dimension ref="A1:F65"/>
  <sheetViews>
    <sheetView showGridLines="0" zoomScaleNormal="100" workbookViewId="0">
      <selection activeCell="F33" sqref="F33"/>
    </sheetView>
  </sheetViews>
  <sheetFormatPr defaultRowHeight="15" x14ac:dyDescent="0.25"/>
  <cols>
    <col min="1" max="1" width="8.7109375" customWidth="1"/>
    <col min="2" max="2" width="4.7109375" customWidth="1"/>
    <col min="3" max="3" width="192.7109375" style="237" customWidth="1"/>
    <col min="4" max="4" width="4.7109375" customWidth="1"/>
    <col min="5" max="5" width="32.7109375" customWidth="1"/>
  </cols>
  <sheetData>
    <row r="1" spans="1:6" x14ac:dyDescent="0.25">
      <c r="A1" s="245"/>
      <c r="B1" s="245"/>
      <c r="C1" s="246"/>
      <c r="D1" s="245"/>
    </row>
    <row r="2" spans="1:6" s="236" customFormat="1" ht="32.1" customHeight="1" x14ac:dyDescent="0.25">
      <c r="A2" s="247"/>
      <c r="B2" s="247"/>
      <c r="C2" s="541" t="s">
        <v>311</v>
      </c>
      <c r="D2" s="247"/>
    </row>
    <row r="3" spans="1:6" ht="15.75" thickBot="1" x14ac:dyDescent="0.3">
      <c r="A3" s="248"/>
      <c r="B3" s="248"/>
      <c r="C3" s="249"/>
      <c r="D3" s="248"/>
    </row>
    <row r="6" spans="1:6" s="239" customFormat="1" ht="36" customHeight="1" x14ac:dyDescent="0.25">
      <c r="B6" s="655"/>
      <c r="C6" s="654" t="s">
        <v>559</v>
      </c>
    </row>
    <row r="7" spans="1:6" s="242" customFormat="1" ht="96" customHeight="1" x14ac:dyDescent="0.25">
      <c r="B7" s="656"/>
      <c r="C7" s="675" t="s">
        <v>556</v>
      </c>
    </row>
    <row r="8" spans="1:6" s="239" customFormat="1" ht="48" customHeight="1" x14ac:dyDescent="0.25">
      <c r="B8" s="655"/>
      <c r="C8" s="520" t="s">
        <v>309</v>
      </c>
    </row>
    <row r="9" spans="1:6" s="242" customFormat="1" ht="48" customHeight="1" x14ac:dyDescent="0.25">
      <c r="B9" s="656"/>
      <c r="C9" s="675" t="s">
        <v>557</v>
      </c>
    </row>
    <row r="10" spans="1:6" ht="15.95" customHeight="1" x14ac:dyDescent="0.25">
      <c r="B10" s="657"/>
      <c r="C10" s="658"/>
    </row>
    <row r="11" spans="1:6" ht="15.95" customHeight="1" thickBot="1" x14ac:dyDescent="0.3">
      <c r="A11" s="646"/>
      <c r="B11" s="646"/>
      <c r="C11" s="673"/>
      <c r="D11" s="646"/>
      <c r="E11" s="676" t="s">
        <v>563</v>
      </c>
    </row>
    <row r="12" spans="1:6" ht="15.95" customHeight="1" x14ac:dyDescent="0.25">
      <c r="C12" s="238"/>
    </row>
    <row r="13" spans="1:6" ht="15.95" customHeight="1" x14ac:dyDescent="0.25">
      <c r="B13" s="659"/>
      <c r="C13" s="663"/>
    </row>
    <row r="14" spans="1:6" s="239" customFormat="1" ht="36" customHeight="1" x14ac:dyDescent="0.25">
      <c r="B14" s="660"/>
      <c r="C14" s="664" t="s">
        <v>543</v>
      </c>
      <c r="F14" s="239" t="s">
        <v>310</v>
      </c>
    </row>
    <row r="15" spans="1:6" s="242" customFormat="1" ht="48" customHeight="1" x14ac:dyDescent="0.25">
      <c r="B15" s="661"/>
      <c r="C15" s="665" t="s">
        <v>492</v>
      </c>
    </row>
    <row r="16" spans="1:6" s="239" customFormat="1" ht="36" customHeight="1" x14ac:dyDescent="0.25">
      <c r="B16" s="660"/>
      <c r="C16" s="664" t="s">
        <v>476</v>
      </c>
    </row>
    <row r="17" spans="1:4" s="242" customFormat="1" ht="48" customHeight="1" x14ac:dyDescent="0.25">
      <c r="B17" s="661"/>
      <c r="C17" s="665" t="s">
        <v>477</v>
      </c>
    </row>
    <row r="18" spans="1:4" ht="15.95" customHeight="1" x14ac:dyDescent="0.25">
      <c r="B18" s="659"/>
      <c r="C18" s="666"/>
    </row>
    <row r="19" spans="1:4" x14ac:dyDescent="0.25">
      <c r="A19" s="243"/>
      <c r="B19" s="243"/>
      <c r="C19" s="244"/>
      <c r="D19" s="243"/>
    </row>
    <row r="20" spans="1:4" ht="18" customHeight="1" x14ac:dyDescent="0.25">
      <c r="C20" s="500"/>
    </row>
    <row r="21" spans="1:4" ht="32.1" customHeight="1" x14ac:dyDescent="0.25">
      <c r="B21" s="662"/>
      <c r="C21" s="664" t="s">
        <v>469</v>
      </c>
    </row>
    <row r="22" spans="1:4" ht="24" customHeight="1" x14ac:dyDescent="0.25">
      <c r="B22" s="662"/>
      <c r="C22" s="665" t="s">
        <v>472</v>
      </c>
    </row>
    <row r="23" spans="1:4" ht="24" customHeight="1" x14ac:dyDescent="0.25">
      <c r="B23" s="662"/>
      <c r="C23" s="665" t="s">
        <v>544</v>
      </c>
    </row>
    <row r="24" spans="1:4" ht="24" customHeight="1" x14ac:dyDescent="0.25">
      <c r="B24" s="662"/>
      <c r="C24" s="665" t="s">
        <v>545</v>
      </c>
    </row>
    <row r="25" spans="1:4" ht="24" customHeight="1" x14ac:dyDescent="0.25">
      <c r="B25" s="662"/>
      <c r="C25" s="665" t="s">
        <v>471</v>
      </c>
    </row>
    <row r="26" spans="1:4" ht="24" customHeight="1" x14ac:dyDescent="0.25">
      <c r="B26" s="662"/>
      <c r="C26" s="665" t="s">
        <v>546</v>
      </c>
    </row>
    <row r="27" spans="1:4" ht="24" customHeight="1" x14ac:dyDescent="0.25">
      <c r="B27" s="662"/>
      <c r="C27" s="667" t="s">
        <v>475</v>
      </c>
    </row>
    <row r="28" spans="1:4" x14ac:dyDescent="0.25">
      <c r="A28" s="243"/>
      <c r="B28" s="243"/>
      <c r="C28" s="244"/>
      <c r="D28" s="243"/>
    </row>
    <row r="29" spans="1:4" ht="18" customHeight="1" x14ac:dyDescent="0.25">
      <c r="C29" s="500"/>
    </row>
    <row r="30" spans="1:4" ht="32.1" customHeight="1" x14ac:dyDescent="0.25">
      <c r="B30" s="662"/>
      <c r="C30" s="668" t="s">
        <v>493</v>
      </c>
    </row>
    <row r="31" spans="1:4" ht="31.5" x14ac:dyDescent="0.25">
      <c r="B31" s="662"/>
      <c r="C31" s="669" t="s">
        <v>547</v>
      </c>
    </row>
    <row r="32" spans="1:4" ht="31.5" x14ac:dyDescent="0.25">
      <c r="B32" s="662"/>
      <c r="C32" s="681" t="s">
        <v>560</v>
      </c>
    </row>
    <row r="33" spans="1:6" ht="15.75" x14ac:dyDescent="0.25">
      <c r="B33" s="662"/>
      <c r="C33" s="670" t="s">
        <v>548</v>
      </c>
    </row>
    <row r="34" spans="1:6" ht="15.75" x14ac:dyDescent="0.25">
      <c r="B34" s="662"/>
      <c r="C34" s="670" t="s">
        <v>549</v>
      </c>
    </row>
    <row r="35" spans="1:6" ht="15.75" x14ac:dyDescent="0.25">
      <c r="B35" s="662"/>
      <c r="C35" s="670" t="s">
        <v>550</v>
      </c>
    </row>
    <row r="36" spans="1:6" ht="15.75" x14ac:dyDescent="0.25">
      <c r="B36" s="662"/>
      <c r="C36" s="670" t="s">
        <v>551</v>
      </c>
    </row>
    <row r="37" spans="1:6" ht="15.75" x14ac:dyDescent="0.25">
      <c r="B37" s="662"/>
      <c r="C37" s="670" t="s">
        <v>552</v>
      </c>
    </row>
    <row r="38" spans="1:6" ht="31.5" x14ac:dyDescent="0.25">
      <c r="B38" s="662"/>
      <c r="C38" s="670" t="s">
        <v>553</v>
      </c>
    </row>
    <row r="39" spans="1:6" ht="15.75" thickBot="1" x14ac:dyDescent="0.3">
      <c r="A39" s="646"/>
      <c r="B39" s="646"/>
      <c r="C39" s="674"/>
      <c r="D39" s="646"/>
      <c r="E39" s="677" t="s">
        <v>564</v>
      </c>
    </row>
    <row r="40" spans="1:6" ht="15.95" customHeight="1" x14ac:dyDescent="0.25">
      <c r="C40" s="238"/>
    </row>
    <row r="41" spans="1:6" ht="15.95" customHeight="1" x14ac:dyDescent="0.25">
      <c r="B41" s="497"/>
      <c r="C41" s="554"/>
    </row>
    <row r="42" spans="1:6" s="239" customFormat="1" ht="36" customHeight="1" x14ac:dyDescent="0.25">
      <c r="B42" s="498"/>
      <c r="C42" s="555" t="s">
        <v>308</v>
      </c>
    </row>
    <row r="43" spans="1:6" s="236" customFormat="1" ht="72" customHeight="1" x14ac:dyDescent="0.25">
      <c r="B43" s="499"/>
      <c r="C43" s="556" t="s">
        <v>494</v>
      </c>
    </row>
    <row r="44" spans="1:6" ht="15.95" customHeight="1" x14ac:dyDescent="0.25">
      <c r="B44" s="497"/>
      <c r="C44" s="557"/>
    </row>
    <row r="45" spans="1:6" ht="15.95" customHeight="1" x14ac:dyDescent="0.25">
      <c r="A45" s="243"/>
      <c r="B45" s="243"/>
      <c r="C45" s="558"/>
      <c r="D45" s="243"/>
    </row>
    <row r="46" spans="1:6" ht="15.95" customHeight="1" x14ac:dyDescent="0.25">
      <c r="C46" s="559"/>
    </row>
    <row r="47" spans="1:6" ht="15.95" customHeight="1" x14ac:dyDescent="0.25">
      <c r="B47" s="497"/>
      <c r="C47" s="560"/>
    </row>
    <row r="48" spans="1:6" s="239" customFormat="1" ht="36" customHeight="1" x14ac:dyDescent="0.25">
      <c r="B48" s="497"/>
      <c r="C48" s="561" t="s">
        <v>309</v>
      </c>
      <c r="F48" s="239" t="s">
        <v>310</v>
      </c>
    </row>
    <row r="49" spans="1:5" s="242" customFormat="1" ht="63.95" customHeight="1" x14ac:dyDescent="0.25">
      <c r="B49" s="497"/>
      <c r="C49" s="562" t="s">
        <v>307</v>
      </c>
    </row>
    <row r="50" spans="1:5" ht="15.95" customHeight="1" x14ac:dyDescent="0.25">
      <c r="B50" s="497"/>
      <c r="C50" s="554"/>
    </row>
    <row r="51" spans="1:5" x14ac:dyDescent="0.25">
      <c r="A51" s="243"/>
      <c r="B51" s="243"/>
      <c r="C51" s="563"/>
      <c r="D51" s="243"/>
    </row>
    <row r="52" spans="1:5" ht="15.95" customHeight="1" x14ac:dyDescent="0.25">
      <c r="C52" s="559"/>
    </row>
    <row r="53" spans="1:5" ht="15.95" customHeight="1" x14ac:dyDescent="0.25">
      <c r="B53" s="497"/>
      <c r="C53" s="560"/>
    </row>
    <row r="54" spans="1:5" s="239" customFormat="1" ht="36" customHeight="1" x14ac:dyDescent="0.25">
      <c r="B54" s="497"/>
      <c r="C54" s="564" t="s">
        <v>312</v>
      </c>
    </row>
    <row r="55" spans="1:5" s="239" customFormat="1" ht="36" customHeight="1" x14ac:dyDescent="0.25">
      <c r="B55" s="497"/>
      <c r="C55" s="565" t="s">
        <v>495</v>
      </c>
    </row>
    <row r="56" spans="1:5" s="239" customFormat="1" ht="36" customHeight="1" x14ac:dyDescent="0.25">
      <c r="B56" s="497"/>
      <c r="C56" s="564" t="s">
        <v>313</v>
      </c>
    </row>
    <row r="57" spans="1:5" s="239" customFormat="1" ht="36" customHeight="1" x14ac:dyDescent="0.25">
      <c r="B57" s="497"/>
      <c r="C57" s="565" t="s">
        <v>496</v>
      </c>
    </row>
    <row r="58" spans="1:5" ht="15.95" customHeight="1" x14ac:dyDescent="0.25">
      <c r="B58" s="497"/>
      <c r="C58" s="554"/>
    </row>
    <row r="59" spans="1:5" x14ac:dyDescent="0.25">
      <c r="A59" s="243"/>
      <c r="B59" s="243"/>
      <c r="C59" s="563"/>
      <c r="D59" s="243"/>
    </row>
    <row r="60" spans="1:5" ht="18" customHeight="1" x14ac:dyDescent="0.25">
      <c r="C60" s="559"/>
    </row>
    <row r="61" spans="1:5" ht="24" customHeight="1" x14ac:dyDescent="0.25">
      <c r="B61" s="497"/>
      <c r="C61" s="566" t="s">
        <v>314</v>
      </c>
    </row>
    <row r="62" spans="1:5" ht="15.75" x14ac:dyDescent="0.25">
      <c r="B62" s="497"/>
      <c r="C62" s="567" t="s">
        <v>345</v>
      </c>
    </row>
    <row r="63" spans="1:5" ht="15.75" x14ac:dyDescent="0.25">
      <c r="B63" s="497"/>
      <c r="C63" s="567" t="s">
        <v>344</v>
      </c>
    </row>
    <row r="64" spans="1:5" x14ac:dyDescent="0.25">
      <c r="A64" s="679"/>
      <c r="B64" s="679"/>
      <c r="C64" s="680"/>
      <c r="D64" s="679"/>
      <c r="E64" s="678" t="s">
        <v>558</v>
      </c>
    </row>
    <row r="65" spans="3:3" ht="18" customHeight="1" x14ac:dyDescent="0.25">
      <c r="C65" s="23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BB116"/>
  <sheetViews>
    <sheetView showGridLines="0" tabSelected="1" zoomScaleNormal="100" zoomScaleSheetLayoutView="115" workbookViewId="0">
      <pane xSplit="2" ySplit="8" topLeftCell="F38" activePane="bottomRight" state="frozen"/>
      <selection pane="topRight" activeCell="C1" sqref="C1"/>
      <selection pane="bottomLeft" activeCell="A9" sqref="A9"/>
      <selection pane="bottomRight" activeCell="L5" sqref="L5"/>
    </sheetView>
  </sheetViews>
  <sheetFormatPr defaultColWidth="9.140625" defaultRowHeight="15.75" x14ac:dyDescent="0.25"/>
  <cols>
    <col min="1" max="1" width="8.7109375" style="1" customWidth="1"/>
    <col min="2" max="3" width="24.7109375" style="1" customWidth="1"/>
    <col min="4" max="4" width="32.7109375" style="1" customWidth="1"/>
    <col min="5" max="5" width="64.7109375" style="1" customWidth="1"/>
    <col min="6" max="9" width="16.7109375" style="1" customWidth="1"/>
    <col min="10" max="10" width="16.7109375" style="49" customWidth="1"/>
    <col min="11" max="11" width="16.7109375" style="1" customWidth="1"/>
    <col min="12" max="13" width="16.7109375" style="49" customWidth="1"/>
    <col min="14" max="17" width="16.7109375" style="1" customWidth="1"/>
    <col min="18" max="19" width="16.7109375" style="49" customWidth="1"/>
    <col min="20" max="36" width="16.7109375" style="1" customWidth="1"/>
    <col min="37" max="37" width="20.7109375" style="1" customWidth="1"/>
    <col min="38" max="44" width="16.7109375" style="1" customWidth="1"/>
    <col min="45" max="47" width="32.7109375" style="1" customWidth="1"/>
    <col min="48" max="48" width="16.7109375" style="1" customWidth="1"/>
    <col min="49" max="49" width="20.7109375" style="1" customWidth="1"/>
    <col min="50" max="51" width="16.7109375" style="1" customWidth="1"/>
    <col min="52" max="16384" width="9.140625" style="1"/>
  </cols>
  <sheetData>
    <row r="1" spans="1:54" ht="32.1" customHeight="1" x14ac:dyDescent="0.25">
      <c r="A1" s="701" t="s">
        <v>142</v>
      </c>
      <c r="B1" s="701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</row>
    <row r="2" spans="1:54" ht="32.1" customHeight="1" x14ac:dyDescent="0.25">
      <c r="A2" s="702" t="s">
        <v>174</v>
      </c>
      <c r="B2" s="702"/>
      <c r="J2" s="1"/>
      <c r="R2" s="1"/>
    </row>
    <row r="3" spans="1:54" ht="48" customHeight="1" x14ac:dyDescent="0.25">
      <c r="A3" s="700" t="s">
        <v>325</v>
      </c>
      <c r="B3" s="700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</row>
    <row r="4" spans="1:54" ht="24" customHeight="1" x14ac:dyDescent="0.3">
      <c r="A4" s="700"/>
      <c r="B4" s="700"/>
      <c r="C4" s="18"/>
      <c r="D4" s="18"/>
      <c r="E4" s="18"/>
      <c r="F4" s="18"/>
      <c r="G4" s="113"/>
      <c r="H4" s="114"/>
      <c r="I4" s="114"/>
      <c r="J4" s="114"/>
      <c r="K4" s="115"/>
      <c r="L4" s="114"/>
      <c r="M4" s="114"/>
      <c r="N4" s="115"/>
      <c r="O4" s="114"/>
      <c r="P4" s="115"/>
      <c r="Q4" s="114"/>
      <c r="R4" s="114"/>
      <c r="S4" s="114"/>
      <c r="T4" s="115"/>
      <c r="U4" s="114"/>
      <c r="V4" s="115"/>
      <c r="W4" s="114"/>
      <c r="X4" s="115"/>
      <c r="Y4" s="114"/>
      <c r="Z4" s="115"/>
      <c r="AA4" s="114"/>
      <c r="AB4" s="115"/>
      <c r="AC4" s="114"/>
      <c r="AD4" s="115"/>
      <c r="AE4" s="115"/>
      <c r="AF4" s="115"/>
      <c r="AG4" s="115"/>
      <c r="AH4" s="115"/>
      <c r="AI4" s="115"/>
      <c r="AJ4" s="115"/>
      <c r="AK4" s="114"/>
      <c r="AL4" s="115"/>
      <c r="AM4" s="115"/>
      <c r="AN4" s="115"/>
      <c r="AO4" s="115"/>
      <c r="AP4" s="114"/>
      <c r="AQ4" s="115"/>
      <c r="AR4" s="115"/>
      <c r="AS4" s="115"/>
      <c r="AT4" s="115"/>
      <c r="AU4" s="115"/>
      <c r="AV4" s="115"/>
      <c r="AX4" s="115"/>
      <c r="AY4" s="115"/>
    </row>
    <row r="5" spans="1:54" ht="24" customHeight="1" thickBot="1" x14ac:dyDescent="0.4">
      <c r="B5" s="4"/>
      <c r="C5" s="4"/>
      <c r="D5" s="4"/>
      <c r="J5" s="1"/>
      <c r="K5" s="93"/>
      <c r="N5" s="93"/>
      <c r="P5" s="93"/>
      <c r="R5" s="1"/>
      <c r="T5" s="93"/>
      <c r="V5" s="93"/>
      <c r="X5" s="93"/>
      <c r="Z5" s="93"/>
      <c r="AB5" s="93"/>
      <c r="AD5" s="93"/>
      <c r="AE5" s="93"/>
      <c r="AF5" s="93"/>
      <c r="AG5" s="93"/>
      <c r="AH5" s="93"/>
      <c r="AI5" s="93"/>
      <c r="AJ5" s="93"/>
      <c r="AL5" s="93"/>
      <c r="AM5" s="93"/>
      <c r="AN5" s="93"/>
      <c r="AO5" s="93"/>
      <c r="AQ5" s="93"/>
      <c r="AR5" s="93"/>
      <c r="AS5" s="93"/>
      <c r="AT5" s="93"/>
      <c r="AU5" s="93"/>
      <c r="AV5" s="93"/>
      <c r="AW5" s="3"/>
      <c r="AX5" s="93"/>
      <c r="AY5" s="93"/>
      <c r="AZ5" s="3"/>
    </row>
    <row r="6" spans="1:54" ht="40.5" customHeight="1" x14ac:dyDescent="0.35">
      <c r="A6" s="4"/>
      <c r="B6" s="4"/>
      <c r="C6" s="4"/>
      <c r="D6" s="4"/>
      <c r="E6" s="5"/>
      <c r="F6" s="5"/>
      <c r="H6" s="5"/>
      <c r="I6" s="5"/>
      <c r="J6" s="50"/>
      <c r="K6" s="5"/>
      <c r="L6" s="50"/>
      <c r="M6" s="50"/>
      <c r="N6" s="5"/>
      <c r="O6" s="5"/>
      <c r="P6" s="2"/>
      <c r="Q6" s="453" t="s">
        <v>340</v>
      </c>
      <c r="R6" s="50"/>
      <c r="S6" s="50"/>
      <c r="T6" s="4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281" t="s">
        <v>11</v>
      </c>
      <c r="AL6" s="25"/>
      <c r="AM6" s="25"/>
      <c r="AN6" s="25"/>
      <c r="AO6" s="3"/>
      <c r="AP6" s="5"/>
      <c r="AQ6" s="3"/>
      <c r="AR6" s="691" t="s">
        <v>340</v>
      </c>
      <c r="AS6" s="3"/>
      <c r="AT6" s="3"/>
      <c r="AU6" s="6"/>
      <c r="AV6" s="6"/>
      <c r="AW6" s="287" t="s">
        <v>10</v>
      </c>
      <c r="AX6" s="6"/>
      <c r="AY6" s="6"/>
    </row>
    <row r="7" spans="1:54" ht="127.5" customHeight="1" thickBot="1" x14ac:dyDescent="0.3">
      <c r="A7" s="55" t="s">
        <v>20</v>
      </c>
      <c r="B7" s="55" t="s">
        <v>0</v>
      </c>
      <c r="C7" s="253" t="s">
        <v>331</v>
      </c>
      <c r="D7" s="254" t="s">
        <v>332</v>
      </c>
      <c r="E7" s="55" t="s">
        <v>1</v>
      </c>
      <c r="F7" s="55" t="s">
        <v>52</v>
      </c>
      <c r="G7" s="55" t="s">
        <v>2</v>
      </c>
      <c r="H7" s="72" t="s">
        <v>339</v>
      </c>
      <c r="I7" s="72" t="s">
        <v>84</v>
      </c>
      <c r="J7" s="51" t="s">
        <v>499</v>
      </c>
      <c r="K7" s="55" t="s">
        <v>500</v>
      </c>
      <c r="L7" s="85" t="s">
        <v>143</v>
      </c>
      <c r="M7" s="531" t="s">
        <v>497</v>
      </c>
      <c r="N7" s="55" t="s">
        <v>498</v>
      </c>
      <c r="O7" s="70" t="s">
        <v>336</v>
      </c>
      <c r="P7" s="55" t="s">
        <v>17</v>
      </c>
      <c r="Q7" s="454" t="s">
        <v>501</v>
      </c>
      <c r="R7" s="85" t="s">
        <v>83</v>
      </c>
      <c r="S7" s="80" t="s">
        <v>90</v>
      </c>
      <c r="T7" s="251" t="s">
        <v>54</v>
      </c>
      <c r="U7" s="72" t="s">
        <v>502</v>
      </c>
      <c r="V7" s="682" t="s">
        <v>561</v>
      </c>
      <c r="W7" s="72" t="s">
        <v>86</v>
      </c>
      <c r="X7" s="55" t="s">
        <v>55</v>
      </c>
      <c r="Y7" s="72" t="s">
        <v>87</v>
      </c>
      <c r="Z7" s="55" t="s">
        <v>5</v>
      </c>
      <c r="AA7" s="72" t="s">
        <v>88</v>
      </c>
      <c r="AB7" s="55" t="s">
        <v>6</v>
      </c>
      <c r="AC7" s="72"/>
      <c r="AD7" s="55" t="s">
        <v>56</v>
      </c>
      <c r="AE7" s="55" t="s">
        <v>7</v>
      </c>
      <c r="AF7" s="55" t="s">
        <v>57</v>
      </c>
      <c r="AG7" s="55" t="s">
        <v>58</v>
      </c>
      <c r="AH7" s="55" t="s">
        <v>59</v>
      </c>
      <c r="AI7" s="55" t="s">
        <v>18</v>
      </c>
      <c r="AJ7" s="61" t="s">
        <v>12</v>
      </c>
      <c r="AK7" s="284" t="s">
        <v>8</v>
      </c>
      <c r="AL7" s="129" t="s">
        <v>169</v>
      </c>
      <c r="AM7" s="129" t="s">
        <v>170</v>
      </c>
      <c r="AN7" s="57" t="s">
        <v>60</v>
      </c>
      <c r="AO7" s="55" t="s">
        <v>13</v>
      </c>
      <c r="AP7" s="72" t="s">
        <v>93</v>
      </c>
      <c r="AQ7" s="55" t="s">
        <v>15</v>
      </c>
      <c r="AR7" s="653" t="s">
        <v>14</v>
      </c>
      <c r="AS7" s="55" t="s">
        <v>16</v>
      </c>
      <c r="AT7" s="55" t="s">
        <v>21</v>
      </c>
      <c r="AU7" s="55" t="s">
        <v>19</v>
      </c>
      <c r="AV7" s="61" t="s">
        <v>61</v>
      </c>
      <c r="AW7" s="106" t="s">
        <v>9</v>
      </c>
      <c r="AX7" s="130" t="s">
        <v>162</v>
      </c>
      <c r="AY7" s="294" t="s">
        <v>337</v>
      </c>
    </row>
    <row r="8" spans="1:54" s="11" customFormat="1" ht="14.1" customHeight="1" thickBot="1" x14ac:dyDescent="0.3">
      <c r="A8" s="56" t="s">
        <v>22</v>
      </c>
      <c r="B8" s="56" t="s">
        <v>23</v>
      </c>
      <c r="C8" s="73"/>
      <c r="D8" s="73"/>
      <c r="E8" s="56" t="s">
        <v>24</v>
      </c>
      <c r="F8" s="56" t="s">
        <v>25</v>
      </c>
      <c r="G8" s="56" t="s">
        <v>26</v>
      </c>
      <c r="H8" s="135" t="s">
        <v>94</v>
      </c>
      <c r="I8" s="71" t="s">
        <v>91</v>
      </c>
      <c r="J8" s="54" t="s">
        <v>89</v>
      </c>
      <c r="K8" s="56" t="s">
        <v>27</v>
      </c>
      <c r="L8" s="86" t="s">
        <v>123</v>
      </c>
      <c r="M8" s="86" t="s">
        <v>89</v>
      </c>
      <c r="N8" s="56" t="s">
        <v>28</v>
      </c>
      <c r="O8" s="71" t="s">
        <v>91</v>
      </c>
      <c r="P8" s="56" t="s">
        <v>29</v>
      </c>
      <c r="Q8" s="452" t="s">
        <v>91</v>
      </c>
      <c r="R8" s="86" t="s">
        <v>89</v>
      </c>
      <c r="S8" s="81" t="s">
        <v>92</v>
      </c>
      <c r="T8" s="56" t="s">
        <v>30</v>
      </c>
      <c r="U8" s="73"/>
      <c r="V8" s="56" t="s">
        <v>31</v>
      </c>
      <c r="W8" s="73"/>
      <c r="X8" s="56" t="s">
        <v>32</v>
      </c>
      <c r="Y8" s="73"/>
      <c r="Z8" s="56" t="s">
        <v>33</v>
      </c>
      <c r="AA8" s="73"/>
      <c r="AB8" s="56" t="s">
        <v>34</v>
      </c>
      <c r="AC8" s="73"/>
      <c r="AD8" s="56" t="s">
        <v>35</v>
      </c>
      <c r="AE8" s="56" t="s">
        <v>36</v>
      </c>
      <c r="AF8" s="56" t="s">
        <v>37</v>
      </c>
      <c r="AG8" s="56" t="s">
        <v>38</v>
      </c>
      <c r="AH8" s="56" t="s">
        <v>39</v>
      </c>
      <c r="AI8" s="56" t="s">
        <v>40</v>
      </c>
      <c r="AJ8" s="62" t="s">
        <v>41</v>
      </c>
      <c r="AK8" s="56" t="s">
        <v>42</v>
      </c>
      <c r="AL8" s="58" t="s">
        <v>43</v>
      </c>
      <c r="AM8" s="56" t="s">
        <v>44</v>
      </c>
      <c r="AN8" s="58" t="s">
        <v>45</v>
      </c>
      <c r="AO8" s="56" t="s">
        <v>46</v>
      </c>
      <c r="AP8" s="73"/>
      <c r="AQ8" s="56" t="s">
        <v>47</v>
      </c>
      <c r="AR8" s="56" t="s">
        <v>48</v>
      </c>
      <c r="AS8" s="56" t="s">
        <v>49</v>
      </c>
      <c r="AT8" s="62" t="s">
        <v>50</v>
      </c>
      <c r="AU8" s="62" t="s">
        <v>51</v>
      </c>
      <c r="AV8" s="62" t="s">
        <v>153</v>
      </c>
      <c r="AW8" s="62" t="s">
        <v>154</v>
      </c>
      <c r="AX8" s="62" t="s">
        <v>155</v>
      </c>
      <c r="AY8" s="62" t="s">
        <v>156</v>
      </c>
    </row>
    <row r="9" spans="1:54" ht="32.1" customHeight="1" thickBot="1" x14ac:dyDescent="0.35">
      <c r="A9" s="501"/>
      <c r="B9" s="502"/>
      <c r="C9" s="503"/>
      <c r="D9" s="503"/>
      <c r="E9" s="504" t="s">
        <v>462</v>
      </c>
      <c r="F9" s="505"/>
      <c r="G9" s="506"/>
      <c r="H9" s="507"/>
      <c r="I9" s="507"/>
      <c r="J9" s="508"/>
      <c r="K9" s="509"/>
      <c r="L9" s="508"/>
      <c r="M9" s="508"/>
      <c r="N9" s="510"/>
      <c r="O9" s="503"/>
      <c r="P9" s="510"/>
      <c r="Q9" s="519" t="s">
        <v>467</v>
      </c>
      <c r="R9" s="508"/>
      <c r="S9" s="508"/>
      <c r="T9" s="519" t="s">
        <v>467</v>
      </c>
      <c r="U9" s="507"/>
      <c r="V9" s="510"/>
      <c r="W9" s="507"/>
      <c r="X9" s="510"/>
      <c r="Y9" s="507"/>
      <c r="Z9" s="510"/>
      <c r="AA9" s="507"/>
      <c r="AB9" s="510"/>
      <c r="AC9" s="507"/>
      <c r="AD9" s="511"/>
      <c r="AE9" s="511"/>
      <c r="AF9" s="511"/>
      <c r="AG9" s="511"/>
      <c r="AH9" s="511"/>
      <c r="AI9" s="510"/>
      <c r="AJ9" s="512"/>
      <c r="AK9" s="513"/>
      <c r="AL9" s="514"/>
      <c r="AM9" s="514"/>
      <c r="AN9" s="514"/>
      <c r="AO9" s="510"/>
      <c r="AP9" s="515"/>
      <c r="AQ9" s="510"/>
      <c r="AR9" s="510"/>
      <c r="AS9" s="516"/>
      <c r="AT9" s="516"/>
      <c r="AU9" s="516"/>
      <c r="AV9" s="517"/>
      <c r="AW9" s="518"/>
      <c r="AX9" s="517"/>
      <c r="AY9" s="517"/>
    </row>
    <row r="10" spans="1:54" ht="20.100000000000001" customHeight="1" thickBot="1" x14ac:dyDescent="0.3">
      <c r="A10" s="32">
        <v>1</v>
      </c>
      <c r="B10" s="33" t="s">
        <v>176</v>
      </c>
      <c r="C10" s="532">
        <v>932494646</v>
      </c>
      <c r="D10" s="74" t="s">
        <v>139</v>
      </c>
      <c r="E10" s="483" t="s">
        <v>121</v>
      </c>
      <c r="F10" s="491">
        <v>1</v>
      </c>
      <c r="G10" s="75">
        <v>22</v>
      </c>
      <c r="H10" s="35">
        <v>0</v>
      </c>
      <c r="I10" s="35">
        <f>IF(22-(G10+H10)&lt;0,"KUJDES",22-(G10+H10))</f>
        <v>0</v>
      </c>
      <c r="J10" s="77"/>
      <c r="K10" s="48">
        <f>ROUND(J10*(G10/22),0)</f>
        <v>0</v>
      </c>
      <c r="L10" s="111"/>
      <c r="M10" s="485">
        <v>425000</v>
      </c>
      <c r="N10" s="48">
        <f>ROUND(M10*(G10/22),0)</f>
        <v>425000</v>
      </c>
      <c r="O10" s="28">
        <f>IF(22-(G10+H10)&lt;0,"GABIM",K10+N10+T10+V10+X10+Z10+AB10+AD10)</f>
        <v>425000</v>
      </c>
      <c r="P10" s="48">
        <f t="shared" ref="P10:P75" si="0">ROUND(O10*(H10/G10)*raport_mjekesor,0)</f>
        <v>0</v>
      </c>
      <c r="Q10" s="450"/>
      <c r="R10" s="77"/>
      <c r="S10" s="527"/>
      <c r="T10" s="526"/>
      <c r="U10" s="35"/>
      <c r="V10" s="48">
        <f>ROUND(U10*(G10/22),0)</f>
        <v>0</v>
      </c>
      <c r="W10" s="35"/>
      <c r="X10" s="48">
        <f>ROUND(W10*(G10/22),0)</f>
        <v>0</v>
      </c>
      <c r="Y10" s="35"/>
      <c r="Z10" s="48">
        <f>ROUND(Y10*(G10/22),0)</f>
        <v>0</v>
      </c>
      <c r="AA10" s="35"/>
      <c r="AB10" s="48">
        <f>ROUND(AA10*(G10/22),0)</f>
        <v>0</v>
      </c>
      <c r="AC10" s="35">
        <v>0</v>
      </c>
      <c r="AD10" s="48">
        <f>ROUND(AC10*(G10/22),0)</f>
        <v>0</v>
      </c>
      <c r="AE10" s="48">
        <v>0</v>
      </c>
      <c r="AF10" s="48">
        <v>0</v>
      </c>
      <c r="AG10" s="48">
        <v>0</v>
      </c>
      <c r="AH10" s="48">
        <v>0</v>
      </c>
      <c r="AI10" s="48">
        <v>0</v>
      </c>
      <c r="AJ10" s="280">
        <v>0</v>
      </c>
      <c r="AK10" s="283">
        <f>K10+N10+P10+T10+V10+X10+Z10+AB10+AD10+AE10+AF10+AG10+AH10+AI10+AJ10</f>
        <v>425000</v>
      </c>
      <c r="AL10" s="60">
        <v>0</v>
      </c>
      <c r="AM10" s="60">
        <v>0</v>
      </c>
      <c r="AN10" s="60">
        <f>ROUND(IF((AK10-AI10)&gt;max_s_shoqeror,(s_shoqeror*max_s_shoqeror),s_shoqeror*(AK10-AI10)),0)</f>
        <v>16760</v>
      </c>
      <c r="AO10" s="36">
        <f t="shared" ref="AO10:AO73" si="1">IF((AK10-AI10)&gt;min_s_shoqeror,ROUND((AK10-AI10)*s_shendetsor,0),min_s_shoqeror*s_shendetsor)</f>
        <v>7225</v>
      </c>
      <c r="AP10" s="29">
        <v>0.04</v>
      </c>
      <c r="AQ10" s="36">
        <f>ROUND((AK10-AI10)*AP10,0)</f>
        <v>17000</v>
      </c>
      <c r="AR10" s="36">
        <f t="shared" ref="AR10:AR73" si="2">ROUND(IF((AK10-AL10-AM10)&lt;=paga_50mije,0,IF((AK10-AL10-AM10)&lt;=paga_60mije,(AK10-AL10-AM10-paga_35mije)*tatimi_13,IF((AK10-AL10-AM10)&lt;=paga_200mije,(AK10-AL10-AM10-paga_30mije)*tatimi_13,(AK10-AL10-AM10-paga_200mije)*tatimi_23 +tatimi_fiks_deri200mije))),0)</f>
        <v>73200</v>
      </c>
      <c r="AS10" s="36">
        <v>0</v>
      </c>
      <c r="AT10" s="36">
        <v>0</v>
      </c>
      <c r="AU10" s="36">
        <v>0</v>
      </c>
      <c r="AV10" s="66">
        <f>ROUND(AN10+AO10+AQ10+AR10+AS10+AT10+AU10+AX10+AY10,0)</f>
        <v>114185</v>
      </c>
      <c r="AW10" s="277">
        <f>AK10-AV10</f>
        <v>310815</v>
      </c>
      <c r="AX10" s="66"/>
      <c r="AY10" s="66"/>
    </row>
    <row r="11" spans="1:54" ht="20.100000000000001" customHeight="1" x14ac:dyDescent="0.25">
      <c r="A11" s="21">
        <v>2</v>
      </c>
      <c r="B11" s="33" t="s">
        <v>177</v>
      </c>
      <c r="C11" s="532">
        <v>559472363</v>
      </c>
      <c r="D11" s="74" t="s">
        <v>140</v>
      </c>
      <c r="E11" s="484" t="s">
        <v>122</v>
      </c>
      <c r="F11" s="310" t="s">
        <v>128</v>
      </c>
      <c r="G11" s="76">
        <v>22</v>
      </c>
      <c r="H11" s="35">
        <v>0</v>
      </c>
      <c r="I11" s="35">
        <f t="shared" ref="I11:I76" si="3">IF(22-(G11+H11)&lt;0,"KUJDES",22-(G11+H11))</f>
        <v>0</v>
      </c>
      <c r="J11" s="77"/>
      <c r="K11" s="48">
        <f t="shared" ref="K11:K76" si="4">ROUND(J11*(G11/22),0)</f>
        <v>0</v>
      </c>
      <c r="L11" s="112"/>
      <c r="M11" s="486">
        <v>393125</v>
      </c>
      <c r="N11" s="48">
        <f t="shared" ref="N11:N76" si="5">ROUND(M11*(G11/22),0)</f>
        <v>393125</v>
      </c>
      <c r="O11" s="28">
        <f t="shared" ref="O11:O76" si="6">IF(22-(G11+H11)&lt;0,"GABIM",K11+N11+T11+V11+X11+Z11+AB11+AD11)</f>
        <v>393125</v>
      </c>
      <c r="P11" s="48">
        <f t="shared" si="0"/>
        <v>0</v>
      </c>
      <c r="Q11" s="451"/>
      <c r="R11" s="77"/>
      <c r="S11" s="527"/>
      <c r="T11" s="526"/>
      <c r="U11" s="31"/>
      <c r="V11" s="48">
        <f t="shared" ref="V11:V76" si="7">ROUND(U11*(G11/22),0)</f>
        <v>0</v>
      </c>
      <c r="W11" s="31"/>
      <c r="X11" s="48">
        <f t="shared" ref="X11:X76" si="8">ROUND(W11*(G11/22),0)</f>
        <v>0</v>
      </c>
      <c r="Y11" s="31"/>
      <c r="Z11" s="48">
        <f t="shared" ref="Z11:Z76" si="9">ROUND(Y11*(G11/22),0)</f>
        <v>0</v>
      </c>
      <c r="AA11" s="31"/>
      <c r="AB11" s="48">
        <f t="shared" ref="AB11:AB76" si="10">ROUND(AA11*(G11/22),0)</f>
        <v>0</v>
      </c>
      <c r="AC11" s="31">
        <v>0</v>
      </c>
      <c r="AD11" s="48">
        <f t="shared" ref="AD11:AD76" si="11">ROUND(AC11*(G11/22),0)</f>
        <v>0</v>
      </c>
      <c r="AE11" s="48">
        <v>0</v>
      </c>
      <c r="AF11" s="48">
        <v>0</v>
      </c>
      <c r="AG11" s="48">
        <v>0</v>
      </c>
      <c r="AH11" s="48">
        <v>0</v>
      </c>
      <c r="AI11" s="48">
        <v>0</v>
      </c>
      <c r="AJ11" s="280">
        <v>0</v>
      </c>
      <c r="AK11" s="283">
        <f t="shared" ref="AK11:AK76" si="12">K11+N11+P11+T11+V11+X11+Z11+AB11+AD11+AE11+AF11+AG11+AH11+AI11+AJ11</f>
        <v>393125</v>
      </c>
      <c r="AL11" s="60">
        <v>0</v>
      </c>
      <c r="AM11" s="60">
        <v>0</v>
      </c>
      <c r="AN11" s="60">
        <f>ROUND(IF((AK11-AI11)&gt;max_s_shoqeror,(s_shoqeror*max_s_shoqeror),s_shoqeror*(AK11-AI11)),0)</f>
        <v>16760</v>
      </c>
      <c r="AO11" s="36">
        <f t="shared" si="1"/>
        <v>6683</v>
      </c>
      <c r="AP11" s="30">
        <v>0.04</v>
      </c>
      <c r="AQ11" s="36">
        <f>ROUND((AK11-AI11)*AP11,0)</f>
        <v>15725</v>
      </c>
      <c r="AR11" s="26">
        <f t="shared" si="2"/>
        <v>65869</v>
      </c>
      <c r="AS11" s="26">
        <v>0</v>
      </c>
      <c r="AT11" s="26">
        <v>0</v>
      </c>
      <c r="AU11" s="26">
        <v>0</v>
      </c>
      <c r="AV11" s="67">
        <f t="shared" ref="AV11:AV76" si="13">ROUND(AN11+AO11+AQ11+AR11+AS11+AT11+AU11+AX11+AY11,0)</f>
        <v>105037</v>
      </c>
      <c r="AW11" s="278">
        <f t="shared" ref="AW11:AW76" si="14">AK11-AV11</f>
        <v>288088</v>
      </c>
      <c r="AX11" s="67"/>
      <c r="AY11" s="67"/>
    </row>
    <row r="12" spans="1:54" ht="20.100000000000001" customHeight="1" thickBot="1" x14ac:dyDescent="0.3">
      <c r="A12" s="21">
        <v>3</v>
      </c>
      <c r="B12" s="33" t="s">
        <v>178</v>
      </c>
      <c r="C12" s="532">
        <v>646606724</v>
      </c>
      <c r="D12" s="74" t="s">
        <v>327</v>
      </c>
      <c r="E12" s="484" t="s">
        <v>127</v>
      </c>
      <c r="F12" s="482" t="s">
        <v>128</v>
      </c>
      <c r="G12" s="76">
        <v>22</v>
      </c>
      <c r="H12" s="35">
        <v>0</v>
      </c>
      <c r="I12" s="35">
        <f t="shared" si="3"/>
        <v>0</v>
      </c>
      <c r="J12" s="77"/>
      <c r="K12" s="48">
        <f t="shared" si="4"/>
        <v>0</v>
      </c>
      <c r="L12" s="112"/>
      <c r="M12" s="486">
        <v>393125</v>
      </c>
      <c r="N12" s="48">
        <f t="shared" si="5"/>
        <v>393125</v>
      </c>
      <c r="O12" s="28">
        <f t="shared" si="6"/>
        <v>393125</v>
      </c>
      <c r="P12" s="48">
        <f t="shared" si="0"/>
        <v>0</v>
      </c>
      <c r="Q12" s="451"/>
      <c r="R12" s="77"/>
      <c r="S12" s="527"/>
      <c r="T12" s="526"/>
      <c r="U12" s="31"/>
      <c r="V12" s="48">
        <f t="shared" si="7"/>
        <v>0</v>
      </c>
      <c r="W12" s="31"/>
      <c r="X12" s="48">
        <f t="shared" si="8"/>
        <v>0</v>
      </c>
      <c r="Y12" s="31"/>
      <c r="Z12" s="48">
        <f t="shared" si="9"/>
        <v>0</v>
      </c>
      <c r="AA12" s="31"/>
      <c r="AB12" s="48">
        <f t="shared" si="10"/>
        <v>0</v>
      </c>
      <c r="AC12" s="31">
        <v>0</v>
      </c>
      <c r="AD12" s="48">
        <f t="shared" si="11"/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0</v>
      </c>
      <c r="AJ12" s="280">
        <v>0</v>
      </c>
      <c r="AK12" s="283">
        <f t="shared" si="12"/>
        <v>393125</v>
      </c>
      <c r="AL12" s="60">
        <v>0</v>
      </c>
      <c r="AM12" s="60">
        <v>0</v>
      </c>
      <c r="AN12" s="60">
        <f t="shared" ref="AN12:AN77" si="15">ROUND(IF((AK12-AI12)&gt;max_s_shoqeror,(s_shoqeror*max_s_shoqeror),s_shoqeror*(AK12-AI12)),0)</f>
        <v>16760</v>
      </c>
      <c r="AO12" s="36">
        <f t="shared" si="1"/>
        <v>6683</v>
      </c>
      <c r="AP12" s="30">
        <v>0.04</v>
      </c>
      <c r="AQ12" s="36">
        <f t="shared" ref="AQ12:AQ77" si="16">ROUND((AK12-AI12)*AP12,0)</f>
        <v>15725</v>
      </c>
      <c r="AR12" s="26">
        <f t="shared" si="2"/>
        <v>65869</v>
      </c>
      <c r="AS12" s="26">
        <v>0</v>
      </c>
      <c r="AT12" s="26">
        <v>0</v>
      </c>
      <c r="AU12" s="26">
        <v>0</v>
      </c>
      <c r="AV12" s="67">
        <f t="shared" si="13"/>
        <v>105037</v>
      </c>
      <c r="AW12" s="278">
        <f t="shared" si="14"/>
        <v>288088</v>
      </c>
      <c r="AX12" s="67"/>
      <c r="AY12" s="67"/>
    </row>
    <row r="13" spans="1:54" ht="20.100000000000001" customHeight="1" x14ac:dyDescent="0.25">
      <c r="A13" s="21">
        <v>4</v>
      </c>
      <c r="B13" s="33" t="s">
        <v>179</v>
      </c>
      <c r="C13" s="532">
        <v>735646534</v>
      </c>
      <c r="D13" s="74" t="s">
        <v>330</v>
      </c>
      <c r="E13" s="484" t="s">
        <v>346</v>
      </c>
      <c r="F13" s="490" t="s">
        <v>129</v>
      </c>
      <c r="G13" s="76">
        <v>22</v>
      </c>
      <c r="H13" s="35">
        <v>0</v>
      </c>
      <c r="I13" s="35">
        <f t="shared" si="3"/>
        <v>0</v>
      </c>
      <c r="J13" s="77"/>
      <c r="K13" s="48">
        <f t="shared" si="4"/>
        <v>0</v>
      </c>
      <c r="L13" s="112"/>
      <c r="M13" s="486">
        <v>329375</v>
      </c>
      <c r="N13" s="48">
        <f t="shared" si="5"/>
        <v>329375</v>
      </c>
      <c r="O13" s="28">
        <f t="shared" si="6"/>
        <v>329375</v>
      </c>
      <c r="P13" s="48">
        <f t="shared" si="0"/>
        <v>0</v>
      </c>
      <c r="Q13" s="451"/>
      <c r="R13" s="77"/>
      <c r="S13" s="527"/>
      <c r="T13" s="526"/>
      <c r="U13" s="31"/>
      <c r="V13" s="48">
        <f t="shared" si="7"/>
        <v>0</v>
      </c>
      <c r="W13" s="31"/>
      <c r="X13" s="48">
        <f t="shared" si="8"/>
        <v>0</v>
      </c>
      <c r="Y13" s="31"/>
      <c r="Z13" s="48">
        <f t="shared" si="9"/>
        <v>0</v>
      </c>
      <c r="AA13" s="31"/>
      <c r="AB13" s="48">
        <f t="shared" si="10"/>
        <v>0</v>
      </c>
      <c r="AC13" s="31">
        <v>0</v>
      </c>
      <c r="AD13" s="48">
        <f t="shared" si="11"/>
        <v>0</v>
      </c>
      <c r="AE13" s="48">
        <v>0</v>
      </c>
      <c r="AF13" s="48">
        <v>0</v>
      </c>
      <c r="AG13" s="48">
        <v>0</v>
      </c>
      <c r="AH13" s="48">
        <v>0</v>
      </c>
      <c r="AI13" s="48">
        <v>0</v>
      </c>
      <c r="AJ13" s="280">
        <v>0</v>
      </c>
      <c r="AK13" s="283">
        <f t="shared" si="12"/>
        <v>329375</v>
      </c>
      <c r="AL13" s="60">
        <v>0</v>
      </c>
      <c r="AM13" s="60">
        <v>0</v>
      </c>
      <c r="AN13" s="60">
        <f t="shared" si="15"/>
        <v>16760</v>
      </c>
      <c r="AO13" s="36">
        <f t="shared" si="1"/>
        <v>5599</v>
      </c>
      <c r="AP13" s="30">
        <v>0.04</v>
      </c>
      <c r="AQ13" s="36">
        <f t="shared" si="16"/>
        <v>13175</v>
      </c>
      <c r="AR13" s="26">
        <f t="shared" si="2"/>
        <v>51206</v>
      </c>
      <c r="AS13" s="26">
        <v>0</v>
      </c>
      <c r="AT13" s="26">
        <v>0</v>
      </c>
      <c r="AU13" s="26">
        <v>0</v>
      </c>
      <c r="AV13" s="67">
        <f t="shared" si="13"/>
        <v>86740</v>
      </c>
      <c r="AW13" s="278">
        <f t="shared" si="14"/>
        <v>242635</v>
      </c>
      <c r="AX13" s="67"/>
      <c r="AY13" s="67"/>
    </row>
    <row r="14" spans="1:54" ht="20.100000000000001" customHeight="1" thickBot="1" x14ac:dyDescent="0.3">
      <c r="A14" s="21">
        <v>5</v>
      </c>
      <c r="B14" s="33" t="s">
        <v>180</v>
      </c>
      <c r="C14" s="532">
        <v>614381046</v>
      </c>
      <c r="D14" s="74" t="s">
        <v>137</v>
      </c>
      <c r="E14" s="484" t="s">
        <v>347</v>
      </c>
      <c r="F14" s="482" t="s">
        <v>129</v>
      </c>
      <c r="G14" s="76">
        <v>22</v>
      </c>
      <c r="H14" s="35">
        <v>0</v>
      </c>
      <c r="I14" s="35">
        <f t="shared" si="3"/>
        <v>0</v>
      </c>
      <c r="J14" s="77"/>
      <c r="K14" s="48">
        <f t="shared" si="4"/>
        <v>0</v>
      </c>
      <c r="L14" s="112"/>
      <c r="M14" s="486">
        <v>329375</v>
      </c>
      <c r="N14" s="48">
        <f t="shared" si="5"/>
        <v>329375</v>
      </c>
      <c r="O14" s="28">
        <f t="shared" si="6"/>
        <v>329375</v>
      </c>
      <c r="P14" s="48">
        <f t="shared" si="0"/>
        <v>0</v>
      </c>
      <c r="Q14" s="451"/>
      <c r="R14" s="77"/>
      <c r="S14" s="527"/>
      <c r="T14" s="526"/>
      <c r="U14" s="31"/>
      <c r="V14" s="48">
        <f t="shared" si="7"/>
        <v>0</v>
      </c>
      <c r="W14" s="31"/>
      <c r="X14" s="48">
        <f t="shared" si="8"/>
        <v>0</v>
      </c>
      <c r="Y14" s="31"/>
      <c r="Z14" s="48">
        <f t="shared" si="9"/>
        <v>0</v>
      </c>
      <c r="AA14" s="31"/>
      <c r="AB14" s="48">
        <f t="shared" si="10"/>
        <v>0</v>
      </c>
      <c r="AC14" s="31">
        <v>0</v>
      </c>
      <c r="AD14" s="48">
        <f t="shared" si="11"/>
        <v>0</v>
      </c>
      <c r="AE14" s="48">
        <v>0</v>
      </c>
      <c r="AF14" s="48">
        <v>0</v>
      </c>
      <c r="AG14" s="48">
        <v>0</v>
      </c>
      <c r="AH14" s="48">
        <v>0</v>
      </c>
      <c r="AI14" s="48">
        <v>0</v>
      </c>
      <c r="AJ14" s="280">
        <v>0</v>
      </c>
      <c r="AK14" s="283">
        <f t="shared" si="12"/>
        <v>329375</v>
      </c>
      <c r="AL14" s="60">
        <v>0</v>
      </c>
      <c r="AM14" s="60">
        <v>0</v>
      </c>
      <c r="AN14" s="60">
        <f t="shared" si="15"/>
        <v>16760</v>
      </c>
      <c r="AO14" s="36">
        <f t="shared" si="1"/>
        <v>5599</v>
      </c>
      <c r="AP14" s="30">
        <v>0.04</v>
      </c>
      <c r="AQ14" s="36">
        <f t="shared" si="16"/>
        <v>13175</v>
      </c>
      <c r="AR14" s="26">
        <f t="shared" si="2"/>
        <v>51206</v>
      </c>
      <c r="AS14" s="26">
        <v>0</v>
      </c>
      <c r="AT14" s="26">
        <v>0</v>
      </c>
      <c r="AU14" s="26">
        <v>0</v>
      </c>
      <c r="AV14" s="67">
        <f t="shared" si="13"/>
        <v>86740</v>
      </c>
      <c r="AW14" s="278">
        <f t="shared" si="14"/>
        <v>242635</v>
      </c>
      <c r="AX14" s="67"/>
      <c r="AY14" s="67"/>
    </row>
    <row r="15" spans="1:54" ht="20.100000000000001" customHeight="1" thickBot="1" x14ac:dyDescent="0.3">
      <c r="A15" s="21">
        <v>6</v>
      </c>
      <c r="B15" s="33" t="s">
        <v>181</v>
      </c>
      <c r="C15" s="532">
        <v>159858847</v>
      </c>
      <c r="D15" s="74" t="s">
        <v>328</v>
      </c>
      <c r="E15" s="484" t="s">
        <v>342</v>
      </c>
      <c r="F15" s="492" t="s">
        <v>130</v>
      </c>
      <c r="G15" s="76">
        <v>22</v>
      </c>
      <c r="H15" s="35">
        <v>0</v>
      </c>
      <c r="I15" s="35">
        <f t="shared" si="3"/>
        <v>0</v>
      </c>
      <c r="J15" s="77"/>
      <c r="K15" s="48">
        <f t="shared" si="4"/>
        <v>0</v>
      </c>
      <c r="L15" s="112"/>
      <c r="M15" s="486">
        <v>318750</v>
      </c>
      <c r="N15" s="48">
        <f t="shared" si="5"/>
        <v>318750</v>
      </c>
      <c r="O15" s="28">
        <f t="shared" si="6"/>
        <v>318750</v>
      </c>
      <c r="P15" s="48">
        <f t="shared" si="0"/>
        <v>0</v>
      </c>
      <c r="Q15" s="451"/>
      <c r="R15" s="77"/>
      <c r="S15" s="527"/>
      <c r="T15" s="526"/>
      <c r="U15" s="31"/>
      <c r="V15" s="48">
        <f t="shared" si="7"/>
        <v>0</v>
      </c>
      <c r="W15" s="31"/>
      <c r="X15" s="48">
        <f t="shared" si="8"/>
        <v>0</v>
      </c>
      <c r="Y15" s="31"/>
      <c r="Z15" s="48">
        <f t="shared" si="9"/>
        <v>0</v>
      </c>
      <c r="AA15" s="31"/>
      <c r="AB15" s="48">
        <f t="shared" si="10"/>
        <v>0</v>
      </c>
      <c r="AC15" s="31">
        <v>0</v>
      </c>
      <c r="AD15" s="48">
        <f t="shared" si="11"/>
        <v>0</v>
      </c>
      <c r="AE15" s="48">
        <v>0</v>
      </c>
      <c r="AF15" s="48">
        <v>0</v>
      </c>
      <c r="AG15" s="48">
        <v>0</v>
      </c>
      <c r="AH15" s="48">
        <v>0</v>
      </c>
      <c r="AI15" s="48">
        <v>0</v>
      </c>
      <c r="AJ15" s="280">
        <v>0</v>
      </c>
      <c r="AK15" s="283">
        <f t="shared" si="12"/>
        <v>318750</v>
      </c>
      <c r="AL15" s="60">
        <v>0</v>
      </c>
      <c r="AM15" s="60">
        <v>0</v>
      </c>
      <c r="AN15" s="60">
        <f t="shared" si="15"/>
        <v>16760</v>
      </c>
      <c r="AO15" s="36">
        <f t="shared" si="1"/>
        <v>5419</v>
      </c>
      <c r="AP15" s="30">
        <v>0.04</v>
      </c>
      <c r="AQ15" s="36">
        <f t="shared" si="16"/>
        <v>12750</v>
      </c>
      <c r="AR15" s="26">
        <f t="shared" si="2"/>
        <v>48763</v>
      </c>
      <c r="AS15" s="26">
        <v>0</v>
      </c>
      <c r="AT15" s="26">
        <v>0</v>
      </c>
      <c r="AU15" s="26">
        <v>0</v>
      </c>
      <c r="AV15" s="67">
        <f t="shared" si="13"/>
        <v>83692</v>
      </c>
      <c r="AW15" s="278">
        <f t="shared" si="14"/>
        <v>235058</v>
      </c>
      <c r="AX15" s="67"/>
      <c r="AY15" s="67"/>
    </row>
    <row r="16" spans="1:54" ht="20.100000000000001" customHeight="1" thickBot="1" x14ac:dyDescent="0.3">
      <c r="A16" s="21">
        <v>7</v>
      </c>
      <c r="B16" s="33" t="s">
        <v>182</v>
      </c>
      <c r="C16" s="532">
        <v>914930417</v>
      </c>
      <c r="D16" s="74" t="s">
        <v>329</v>
      </c>
      <c r="E16" s="484" t="s">
        <v>343</v>
      </c>
      <c r="F16" s="492" t="s">
        <v>131</v>
      </c>
      <c r="G16" s="76">
        <v>22</v>
      </c>
      <c r="H16" s="35">
        <v>0</v>
      </c>
      <c r="I16" s="35">
        <f t="shared" si="3"/>
        <v>0</v>
      </c>
      <c r="J16" s="77"/>
      <c r="K16" s="48">
        <f t="shared" si="4"/>
        <v>0</v>
      </c>
      <c r="L16" s="112"/>
      <c r="M16" s="486">
        <v>310250</v>
      </c>
      <c r="N16" s="48">
        <f t="shared" si="5"/>
        <v>310250</v>
      </c>
      <c r="O16" s="28">
        <f t="shared" si="6"/>
        <v>310250</v>
      </c>
      <c r="P16" s="48">
        <f t="shared" si="0"/>
        <v>0</v>
      </c>
      <c r="Q16" s="451"/>
      <c r="R16" s="77"/>
      <c r="S16" s="527"/>
      <c r="T16" s="526"/>
      <c r="U16" s="31"/>
      <c r="V16" s="48">
        <f t="shared" si="7"/>
        <v>0</v>
      </c>
      <c r="W16" s="31"/>
      <c r="X16" s="48">
        <f t="shared" si="8"/>
        <v>0</v>
      </c>
      <c r="Y16" s="31"/>
      <c r="Z16" s="48">
        <f t="shared" si="9"/>
        <v>0</v>
      </c>
      <c r="AA16" s="31"/>
      <c r="AB16" s="48">
        <f t="shared" si="10"/>
        <v>0</v>
      </c>
      <c r="AC16" s="31">
        <v>0</v>
      </c>
      <c r="AD16" s="48">
        <f t="shared" si="11"/>
        <v>0</v>
      </c>
      <c r="AE16" s="48">
        <v>0</v>
      </c>
      <c r="AF16" s="48">
        <v>0</v>
      </c>
      <c r="AG16" s="48">
        <v>0</v>
      </c>
      <c r="AH16" s="48">
        <v>0</v>
      </c>
      <c r="AI16" s="48">
        <v>0</v>
      </c>
      <c r="AJ16" s="280">
        <v>0</v>
      </c>
      <c r="AK16" s="283">
        <f t="shared" si="12"/>
        <v>310250</v>
      </c>
      <c r="AL16" s="60">
        <v>0</v>
      </c>
      <c r="AM16" s="60">
        <v>0</v>
      </c>
      <c r="AN16" s="60">
        <f t="shared" si="15"/>
        <v>16760</v>
      </c>
      <c r="AO16" s="36">
        <f t="shared" si="1"/>
        <v>5274</v>
      </c>
      <c r="AP16" s="30">
        <v>0.03</v>
      </c>
      <c r="AQ16" s="36">
        <f t="shared" si="16"/>
        <v>9308</v>
      </c>
      <c r="AR16" s="26">
        <f t="shared" si="2"/>
        <v>46808</v>
      </c>
      <c r="AS16" s="26">
        <v>0</v>
      </c>
      <c r="AT16" s="26">
        <v>0</v>
      </c>
      <c r="AU16" s="26">
        <v>0</v>
      </c>
      <c r="AV16" s="67">
        <f t="shared" si="13"/>
        <v>78150</v>
      </c>
      <c r="AW16" s="278">
        <f t="shared" si="14"/>
        <v>232100</v>
      </c>
      <c r="AX16" s="67"/>
      <c r="AY16" s="67"/>
    </row>
    <row r="17" spans="1:51" ht="20.100000000000001" customHeight="1" thickBot="1" x14ac:dyDescent="0.3">
      <c r="A17" s="21">
        <v>8</v>
      </c>
      <c r="B17" s="33" t="s">
        <v>183</v>
      </c>
      <c r="C17" s="532">
        <v>678585650</v>
      </c>
      <c r="D17" s="74" t="s">
        <v>138</v>
      </c>
      <c r="E17" s="484" t="s">
        <v>348</v>
      </c>
      <c r="F17" s="492" t="s">
        <v>132</v>
      </c>
      <c r="G17" s="76">
        <v>22</v>
      </c>
      <c r="H17" s="35">
        <v>0</v>
      </c>
      <c r="I17" s="35">
        <f t="shared" si="3"/>
        <v>0</v>
      </c>
      <c r="J17" s="77"/>
      <c r="K17" s="48">
        <f t="shared" si="4"/>
        <v>0</v>
      </c>
      <c r="L17" s="112"/>
      <c r="M17" s="486">
        <v>297500</v>
      </c>
      <c r="N17" s="48">
        <f t="shared" si="5"/>
        <v>297500</v>
      </c>
      <c r="O17" s="28">
        <f t="shared" si="6"/>
        <v>297500</v>
      </c>
      <c r="P17" s="48">
        <f t="shared" si="0"/>
        <v>0</v>
      </c>
      <c r="Q17" s="451"/>
      <c r="R17" s="77"/>
      <c r="S17" s="527"/>
      <c r="T17" s="526"/>
      <c r="U17" s="31"/>
      <c r="V17" s="48">
        <f t="shared" si="7"/>
        <v>0</v>
      </c>
      <c r="W17" s="31"/>
      <c r="X17" s="48">
        <f t="shared" si="8"/>
        <v>0</v>
      </c>
      <c r="Y17" s="31"/>
      <c r="Z17" s="48">
        <f t="shared" si="9"/>
        <v>0</v>
      </c>
      <c r="AA17" s="31"/>
      <c r="AB17" s="48">
        <f t="shared" si="10"/>
        <v>0</v>
      </c>
      <c r="AC17" s="31">
        <v>0</v>
      </c>
      <c r="AD17" s="48">
        <f t="shared" si="11"/>
        <v>0</v>
      </c>
      <c r="AE17" s="48">
        <v>0</v>
      </c>
      <c r="AF17" s="48">
        <v>0</v>
      </c>
      <c r="AG17" s="48">
        <v>0</v>
      </c>
      <c r="AH17" s="48">
        <v>0</v>
      </c>
      <c r="AI17" s="48">
        <v>0</v>
      </c>
      <c r="AJ17" s="280">
        <v>0</v>
      </c>
      <c r="AK17" s="283">
        <f t="shared" si="12"/>
        <v>297500</v>
      </c>
      <c r="AL17" s="60">
        <v>0</v>
      </c>
      <c r="AM17" s="60">
        <v>0</v>
      </c>
      <c r="AN17" s="60">
        <f t="shared" si="15"/>
        <v>16760</v>
      </c>
      <c r="AO17" s="36">
        <f t="shared" si="1"/>
        <v>5058</v>
      </c>
      <c r="AP17" s="30">
        <v>0.03</v>
      </c>
      <c r="AQ17" s="36">
        <f t="shared" si="16"/>
        <v>8925</v>
      </c>
      <c r="AR17" s="26">
        <f t="shared" si="2"/>
        <v>43875</v>
      </c>
      <c r="AS17" s="26">
        <v>0</v>
      </c>
      <c r="AT17" s="26">
        <v>0</v>
      </c>
      <c r="AU17" s="26">
        <v>0</v>
      </c>
      <c r="AV17" s="67">
        <f t="shared" si="13"/>
        <v>74618</v>
      </c>
      <c r="AW17" s="278">
        <f t="shared" si="14"/>
        <v>222882</v>
      </c>
      <c r="AX17" s="67"/>
      <c r="AY17" s="67"/>
    </row>
    <row r="18" spans="1:51" ht="20.100000000000001" customHeight="1" x14ac:dyDescent="0.25">
      <c r="A18" s="21">
        <v>9</v>
      </c>
      <c r="B18" s="33" t="s">
        <v>184</v>
      </c>
      <c r="C18" s="532">
        <v>281383557</v>
      </c>
      <c r="D18" s="74" t="s">
        <v>135</v>
      </c>
      <c r="E18" s="484" t="s">
        <v>349</v>
      </c>
      <c r="F18" s="310" t="s">
        <v>133</v>
      </c>
      <c r="G18" s="76">
        <v>22</v>
      </c>
      <c r="H18" s="35">
        <v>0</v>
      </c>
      <c r="I18" s="35">
        <f t="shared" si="3"/>
        <v>0</v>
      </c>
      <c r="J18" s="77"/>
      <c r="K18" s="48">
        <f t="shared" si="4"/>
        <v>0</v>
      </c>
      <c r="L18" s="112"/>
      <c r="M18" s="486">
        <v>255000</v>
      </c>
      <c r="N18" s="48">
        <f t="shared" si="5"/>
        <v>255000</v>
      </c>
      <c r="O18" s="28">
        <f t="shared" si="6"/>
        <v>255000</v>
      </c>
      <c r="P18" s="48">
        <f t="shared" si="0"/>
        <v>0</v>
      </c>
      <c r="Q18" s="451"/>
      <c r="R18" s="77"/>
      <c r="S18" s="527"/>
      <c r="T18" s="526"/>
      <c r="U18" s="31"/>
      <c r="V18" s="48">
        <f t="shared" si="7"/>
        <v>0</v>
      </c>
      <c r="W18" s="31"/>
      <c r="X18" s="48">
        <f t="shared" si="8"/>
        <v>0</v>
      </c>
      <c r="Y18" s="31"/>
      <c r="Z18" s="48">
        <f t="shared" si="9"/>
        <v>0</v>
      </c>
      <c r="AA18" s="31"/>
      <c r="AB18" s="48">
        <f t="shared" si="10"/>
        <v>0</v>
      </c>
      <c r="AC18" s="31">
        <v>0</v>
      </c>
      <c r="AD18" s="48">
        <f t="shared" si="11"/>
        <v>0</v>
      </c>
      <c r="AE18" s="48">
        <v>0</v>
      </c>
      <c r="AF18" s="48">
        <v>0</v>
      </c>
      <c r="AG18" s="48">
        <v>0</v>
      </c>
      <c r="AH18" s="48">
        <v>0</v>
      </c>
      <c r="AI18" s="48">
        <v>0</v>
      </c>
      <c r="AJ18" s="280">
        <v>0</v>
      </c>
      <c r="AK18" s="283">
        <f t="shared" si="12"/>
        <v>255000</v>
      </c>
      <c r="AL18" s="60">
        <v>0</v>
      </c>
      <c r="AM18" s="60">
        <v>0</v>
      </c>
      <c r="AN18" s="60">
        <f t="shared" si="15"/>
        <v>16760</v>
      </c>
      <c r="AO18" s="36">
        <f t="shared" si="1"/>
        <v>4335</v>
      </c>
      <c r="AP18" s="30">
        <v>0.03</v>
      </c>
      <c r="AQ18" s="36">
        <f t="shared" si="16"/>
        <v>7650</v>
      </c>
      <c r="AR18" s="26">
        <f t="shared" si="2"/>
        <v>34100</v>
      </c>
      <c r="AS18" s="26">
        <v>0</v>
      </c>
      <c r="AT18" s="26">
        <v>0</v>
      </c>
      <c r="AU18" s="26">
        <v>0</v>
      </c>
      <c r="AV18" s="67">
        <f t="shared" si="13"/>
        <v>62845</v>
      </c>
      <c r="AW18" s="278">
        <f t="shared" si="14"/>
        <v>192155</v>
      </c>
      <c r="AX18" s="67"/>
      <c r="AY18" s="67"/>
    </row>
    <row r="19" spans="1:51" ht="20.100000000000001" customHeight="1" x14ac:dyDescent="0.25">
      <c r="A19" s="21">
        <v>10</v>
      </c>
      <c r="B19" s="33" t="s">
        <v>185</v>
      </c>
      <c r="C19" s="532">
        <v>319363179</v>
      </c>
      <c r="D19" s="74" t="s">
        <v>136</v>
      </c>
      <c r="E19" s="484" t="s">
        <v>350</v>
      </c>
      <c r="F19" s="311" t="s">
        <v>133</v>
      </c>
      <c r="G19" s="76">
        <v>22</v>
      </c>
      <c r="H19" s="35">
        <v>0</v>
      </c>
      <c r="I19" s="35">
        <f t="shared" si="3"/>
        <v>0</v>
      </c>
      <c r="J19" s="77"/>
      <c r="K19" s="48">
        <f t="shared" si="4"/>
        <v>0</v>
      </c>
      <c r="L19" s="112"/>
      <c r="M19" s="486">
        <v>255000</v>
      </c>
      <c r="N19" s="48">
        <f t="shared" si="5"/>
        <v>255000</v>
      </c>
      <c r="O19" s="28">
        <f t="shared" si="6"/>
        <v>255000</v>
      </c>
      <c r="P19" s="48">
        <f t="shared" si="0"/>
        <v>0</v>
      </c>
      <c r="Q19" s="451"/>
      <c r="R19" s="77"/>
      <c r="S19" s="527"/>
      <c r="T19" s="526"/>
      <c r="U19" s="31"/>
      <c r="V19" s="48">
        <f t="shared" si="7"/>
        <v>0</v>
      </c>
      <c r="W19" s="31"/>
      <c r="X19" s="48">
        <f t="shared" si="8"/>
        <v>0</v>
      </c>
      <c r="Y19" s="31"/>
      <c r="Z19" s="48">
        <f t="shared" si="9"/>
        <v>0</v>
      </c>
      <c r="AA19" s="31"/>
      <c r="AB19" s="48">
        <f t="shared" si="10"/>
        <v>0</v>
      </c>
      <c r="AC19" s="31">
        <v>0</v>
      </c>
      <c r="AD19" s="48">
        <f t="shared" si="11"/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0</v>
      </c>
      <c r="AJ19" s="280">
        <v>0</v>
      </c>
      <c r="AK19" s="283">
        <f t="shared" si="12"/>
        <v>255000</v>
      </c>
      <c r="AL19" s="60">
        <v>0</v>
      </c>
      <c r="AM19" s="60">
        <v>0</v>
      </c>
      <c r="AN19" s="60">
        <f t="shared" si="15"/>
        <v>16760</v>
      </c>
      <c r="AO19" s="36">
        <f t="shared" si="1"/>
        <v>4335</v>
      </c>
      <c r="AP19" s="30">
        <v>0.03</v>
      </c>
      <c r="AQ19" s="36">
        <f t="shared" si="16"/>
        <v>7650</v>
      </c>
      <c r="AR19" s="26">
        <f t="shared" si="2"/>
        <v>34100</v>
      </c>
      <c r="AS19" s="26">
        <v>0</v>
      </c>
      <c r="AT19" s="26">
        <v>0</v>
      </c>
      <c r="AU19" s="26">
        <v>0</v>
      </c>
      <c r="AV19" s="67">
        <f t="shared" si="13"/>
        <v>62845</v>
      </c>
      <c r="AW19" s="278">
        <f t="shared" si="14"/>
        <v>192155</v>
      </c>
      <c r="AX19" s="67"/>
      <c r="AY19" s="67"/>
    </row>
    <row r="20" spans="1:51" ht="20.100000000000001" customHeight="1" x14ac:dyDescent="0.25">
      <c r="A20" s="21">
        <v>11</v>
      </c>
      <c r="B20" s="33" t="s">
        <v>186</v>
      </c>
      <c r="C20" s="532">
        <v>291601546</v>
      </c>
      <c r="D20" s="74" t="s">
        <v>141</v>
      </c>
      <c r="E20" s="484" t="s">
        <v>351</v>
      </c>
      <c r="F20" s="311" t="s">
        <v>133</v>
      </c>
      <c r="G20" s="76">
        <v>22</v>
      </c>
      <c r="H20" s="35">
        <v>0</v>
      </c>
      <c r="I20" s="35">
        <f t="shared" si="3"/>
        <v>0</v>
      </c>
      <c r="J20" s="77"/>
      <c r="K20" s="48">
        <f t="shared" si="4"/>
        <v>0</v>
      </c>
      <c r="L20" s="112"/>
      <c r="M20" s="486">
        <v>255000</v>
      </c>
      <c r="N20" s="48">
        <f t="shared" si="5"/>
        <v>255000</v>
      </c>
      <c r="O20" s="28">
        <f t="shared" si="6"/>
        <v>255000</v>
      </c>
      <c r="P20" s="48">
        <f t="shared" si="0"/>
        <v>0</v>
      </c>
      <c r="Q20" s="451"/>
      <c r="R20" s="77"/>
      <c r="S20" s="527"/>
      <c r="T20" s="526"/>
      <c r="U20" s="31"/>
      <c r="V20" s="48">
        <f t="shared" si="7"/>
        <v>0</v>
      </c>
      <c r="W20" s="31"/>
      <c r="X20" s="48">
        <f t="shared" si="8"/>
        <v>0</v>
      </c>
      <c r="Y20" s="31"/>
      <c r="Z20" s="48">
        <f t="shared" si="9"/>
        <v>0</v>
      </c>
      <c r="AA20" s="31"/>
      <c r="AB20" s="48">
        <f t="shared" si="10"/>
        <v>0</v>
      </c>
      <c r="AC20" s="31">
        <v>0</v>
      </c>
      <c r="AD20" s="48">
        <f t="shared" si="11"/>
        <v>0</v>
      </c>
      <c r="AE20" s="48">
        <v>0</v>
      </c>
      <c r="AF20" s="48">
        <v>0</v>
      </c>
      <c r="AG20" s="48">
        <v>0</v>
      </c>
      <c r="AH20" s="48">
        <v>0</v>
      </c>
      <c r="AI20" s="48">
        <v>0</v>
      </c>
      <c r="AJ20" s="280">
        <v>0</v>
      </c>
      <c r="AK20" s="283">
        <f t="shared" si="12"/>
        <v>255000</v>
      </c>
      <c r="AL20" s="60">
        <v>0</v>
      </c>
      <c r="AM20" s="60">
        <v>0</v>
      </c>
      <c r="AN20" s="60">
        <f t="shared" si="15"/>
        <v>16760</v>
      </c>
      <c r="AO20" s="36">
        <f t="shared" si="1"/>
        <v>4335</v>
      </c>
      <c r="AP20" s="30">
        <v>0</v>
      </c>
      <c r="AQ20" s="36">
        <f t="shared" si="16"/>
        <v>0</v>
      </c>
      <c r="AR20" s="26">
        <f t="shared" si="2"/>
        <v>34100</v>
      </c>
      <c r="AS20" s="26">
        <v>0</v>
      </c>
      <c r="AT20" s="26">
        <v>0</v>
      </c>
      <c r="AU20" s="26">
        <v>0</v>
      </c>
      <c r="AV20" s="67">
        <f t="shared" si="13"/>
        <v>55195</v>
      </c>
      <c r="AW20" s="278">
        <f t="shared" si="14"/>
        <v>199805</v>
      </c>
      <c r="AX20" s="67"/>
      <c r="AY20" s="67"/>
    </row>
    <row r="21" spans="1:51" ht="20.100000000000001" customHeight="1" x14ac:dyDescent="0.25">
      <c r="A21" s="21">
        <v>12</v>
      </c>
      <c r="B21" s="33" t="s">
        <v>187</v>
      </c>
      <c r="C21" s="532">
        <v>622310084</v>
      </c>
      <c r="D21" s="74" t="s">
        <v>139</v>
      </c>
      <c r="E21" s="484" t="s">
        <v>352</v>
      </c>
      <c r="F21" s="311" t="s">
        <v>133</v>
      </c>
      <c r="G21" s="76">
        <v>22</v>
      </c>
      <c r="H21" s="35">
        <v>0</v>
      </c>
      <c r="I21" s="35">
        <f t="shared" si="3"/>
        <v>0</v>
      </c>
      <c r="J21" s="77"/>
      <c r="K21" s="48">
        <f t="shared" si="4"/>
        <v>0</v>
      </c>
      <c r="L21" s="112"/>
      <c r="M21" s="486">
        <v>255000</v>
      </c>
      <c r="N21" s="48">
        <f t="shared" si="5"/>
        <v>255000</v>
      </c>
      <c r="O21" s="28">
        <f t="shared" si="6"/>
        <v>255000</v>
      </c>
      <c r="P21" s="48">
        <f t="shared" si="0"/>
        <v>0</v>
      </c>
      <c r="Q21" s="451"/>
      <c r="R21" s="77"/>
      <c r="S21" s="527"/>
      <c r="T21" s="526"/>
      <c r="U21" s="31"/>
      <c r="V21" s="48">
        <f t="shared" si="7"/>
        <v>0</v>
      </c>
      <c r="W21" s="31"/>
      <c r="X21" s="48">
        <f t="shared" si="8"/>
        <v>0</v>
      </c>
      <c r="Y21" s="31"/>
      <c r="Z21" s="48">
        <f t="shared" si="9"/>
        <v>0</v>
      </c>
      <c r="AA21" s="31"/>
      <c r="AB21" s="48">
        <f t="shared" si="10"/>
        <v>0</v>
      </c>
      <c r="AC21" s="31">
        <v>0</v>
      </c>
      <c r="AD21" s="48">
        <f t="shared" si="11"/>
        <v>0</v>
      </c>
      <c r="AE21" s="48">
        <v>0</v>
      </c>
      <c r="AF21" s="48">
        <v>0</v>
      </c>
      <c r="AG21" s="48">
        <v>0</v>
      </c>
      <c r="AH21" s="48">
        <v>0</v>
      </c>
      <c r="AI21" s="48">
        <v>0</v>
      </c>
      <c r="AJ21" s="280">
        <v>0</v>
      </c>
      <c r="AK21" s="283">
        <f t="shared" si="12"/>
        <v>255000</v>
      </c>
      <c r="AL21" s="60">
        <v>0</v>
      </c>
      <c r="AM21" s="60">
        <v>0</v>
      </c>
      <c r="AN21" s="60">
        <f t="shared" si="15"/>
        <v>16760</v>
      </c>
      <c r="AO21" s="36">
        <f t="shared" si="1"/>
        <v>4335</v>
      </c>
      <c r="AP21" s="30">
        <v>0</v>
      </c>
      <c r="AQ21" s="36">
        <f t="shared" si="16"/>
        <v>0</v>
      </c>
      <c r="AR21" s="26">
        <f t="shared" si="2"/>
        <v>34100</v>
      </c>
      <c r="AS21" s="26">
        <v>0</v>
      </c>
      <c r="AT21" s="26">
        <v>0</v>
      </c>
      <c r="AU21" s="26">
        <v>0</v>
      </c>
      <c r="AV21" s="67">
        <f t="shared" si="13"/>
        <v>55195</v>
      </c>
      <c r="AW21" s="278">
        <f t="shared" si="14"/>
        <v>199805</v>
      </c>
      <c r="AX21" s="67"/>
      <c r="AY21" s="67"/>
    </row>
    <row r="22" spans="1:51" ht="20.100000000000001" customHeight="1" x14ac:dyDescent="0.25">
      <c r="A22" s="21">
        <v>13</v>
      </c>
      <c r="B22" s="33" t="s">
        <v>188</v>
      </c>
      <c r="C22" s="532">
        <v>140438626</v>
      </c>
      <c r="D22" s="74" t="s">
        <v>140</v>
      </c>
      <c r="E22" s="484" t="s">
        <v>353</v>
      </c>
      <c r="F22" s="311" t="s">
        <v>133</v>
      </c>
      <c r="G22" s="76">
        <v>22</v>
      </c>
      <c r="H22" s="35">
        <v>0</v>
      </c>
      <c r="I22" s="35">
        <f t="shared" si="3"/>
        <v>0</v>
      </c>
      <c r="J22" s="77"/>
      <c r="K22" s="48">
        <f t="shared" si="4"/>
        <v>0</v>
      </c>
      <c r="L22" s="112"/>
      <c r="M22" s="486">
        <v>255000</v>
      </c>
      <c r="N22" s="48">
        <f t="shared" si="5"/>
        <v>255000</v>
      </c>
      <c r="O22" s="28">
        <f t="shared" si="6"/>
        <v>255000</v>
      </c>
      <c r="P22" s="48">
        <f t="shared" si="0"/>
        <v>0</v>
      </c>
      <c r="Q22" s="451"/>
      <c r="R22" s="77"/>
      <c r="S22" s="527"/>
      <c r="T22" s="526"/>
      <c r="U22" s="31"/>
      <c r="V22" s="48">
        <f t="shared" si="7"/>
        <v>0</v>
      </c>
      <c r="W22" s="31"/>
      <c r="X22" s="48">
        <f t="shared" si="8"/>
        <v>0</v>
      </c>
      <c r="Y22" s="31"/>
      <c r="Z22" s="48">
        <f t="shared" si="9"/>
        <v>0</v>
      </c>
      <c r="AA22" s="31"/>
      <c r="AB22" s="48">
        <f t="shared" si="10"/>
        <v>0</v>
      </c>
      <c r="AC22" s="31">
        <v>0</v>
      </c>
      <c r="AD22" s="48">
        <f t="shared" si="11"/>
        <v>0</v>
      </c>
      <c r="AE22" s="48">
        <v>0</v>
      </c>
      <c r="AF22" s="48">
        <v>0</v>
      </c>
      <c r="AG22" s="48">
        <v>0</v>
      </c>
      <c r="AH22" s="48">
        <v>0</v>
      </c>
      <c r="AI22" s="48">
        <v>0</v>
      </c>
      <c r="AJ22" s="280">
        <v>0</v>
      </c>
      <c r="AK22" s="283">
        <f t="shared" si="12"/>
        <v>255000</v>
      </c>
      <c r="AL22" s="60">
        <v>0</v>
      </c>
      <c r="AM22" s="60">
        <v>0</v>
      </c>
      <c r="AN22" s="60">
        <f t="shared" si="15"/>
        <v>16760</v>
      </c>
      <c r="AO22" s="36">
        <f t="shared" si="1"/>
        <v>4335</v>
      </c>
      <c r="AP22" s="30">
        <v>0</v>
      </c>
      <c r="AQ22" s="36">
        <f t="shared" si="16"/>
        <v>0</v>
      </c>
      <c r="AR22" s="26">
        <f t="shared" si="2"/>
        <v>34100</v>
      </c>
      <c r="AS22" s="26">
        <v>0</v>
      </c>
      <c r="AT22" s="26">
        <v>0</v>
      </c>
      <c r="AU22" s="26">
        <v>0</v>
      </c>
      <c r="AV22" s="67">
        <f t="shared" si="13"/>
        <v>55195</v>
      </c>
      <c r="AW22" s="278">
        <f t="shared" si="14"/>
        <v>199805</v>
      </c>
      <c r="AX22" s="67"/>
      <c r="AY22" s="67"/>
    </row>
    <row r="23" spans="1:51" ht="20.100000000000001" customHeight="1" x14ac:dyDescent="0.25">
      <c r="A23" s="21">
        <v>14</v>
      </c>
      <c r="B23" s="33" t="s">
        <v>189</v>
      </c>
      <c r="C23" s="532">
        <v>658110914</v>
      </c>
      <c r="D23" s="74" t="s">
        <v>327</v>
      </c>
      <c r="E23" s="484" t="s">
        <v>354</v>
      </c>
      <c r="F23" s="311" t="s">
        <v>133</v>
      </c>
      <c r="G23" s="76">
        <v>22</v>
      </c>
      <c r="H23" s="35">
        <v>0</v>
      </c>
      <c r="I23" s="35">
        <f t="shared" si="3"/>
        <v>0</v>
      </c>
      <c r="J23" s="77"/>
      <c r="K23" s="48">
        <f t="shared" si="4"/>
        <v>0</v>
      </c>
      <c r="L23" s="112"/>
      <c r="M23" s="486">
        <v>255000</v>
      </c>
      <c r="N23" s="48">
        <f t="shared" si="5"/>
        <v>255000</v>
      </c>
      <c r="O23" s="28">
        <f t="shared" si="6"/>
        <v>255000</v>
      </c>
      <c r="P23" s="48">
        <f t="shared" si="0"/>
        <v>0</v>
      </c>
      <c r="Q23" s="451"/>
      <c r="R23" s="77"/>
      <c r="S23" s="527"/>
      <c r="T23" s="526"/>
      <c r="U23" s="31"/>
      <c r="V23" s="48">
        <f t="shared" si="7"/>
        <v>0</v>
      </c>
      <c r="W23" s="31"/>
      <c r="X23" s="48">
        <f t="shared" si="8"/>
        <v>0</v>
      </c>
      <c r="Y23" s="31"/>
      <c r="Z23" s="48">
        <f t="shared" si="9"/>
        <v>0</v>
      </c>
      <c r="AA23" s="31"/>
      <c r="AB23" s="48">
        <f t="shared" si="10"/>
        <v>0</v>
      </c>
      <c r="AC23" s="31">
        <v>0</v>
      </c>
      <c r="AD23" s="48">
        <f t="shared" si="11"/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280">
        <v>0</v>
      </c>
      <c r="AK23" s="283">
        <f t="shared" si="12"/>
        <v>255000</v>
      </c>
      <c r="AL23" s="60">
        <v>0</v>
      </c>
      <c r="AM23" s="60">
        <v>0</v>
      </c>
      <c r="AN23" s="60">
        <f t="shared" si="15"/>
        <v>16760</v>
      </c>
      <c r="AO23" s="36">
        <f t="shared" si="1"/>
        <v>4335</v>
      </c>
      <c r="AP23" s="30">
        <v>0</v>
      </c>
      <c r="AQ23" s="36">
        <f t="shared" si="16"/>
        <v>0</v>
      </c>
      <c r="AR23" s="26">
        <f t="shared" si="2"/>
        <v>34100</v>
      </c>
      <c r="AS23" s="26">
        <v>0</v>
      </c>
      <c r="AT23" s="26">
        <v>0</v>
      </c>
      <c r="AU23" s="26">
        <v>0</v>
      </c>
      <c r="AV23" s="67">
        <f t="shared" si="13"/>
        <v>55195</v>
      </c>
      <c r="AW23" s="278">
        <f t="shared" si="14"/>
        <v>199805</v>
      </c>
      <c r="AX23" s="67"/>
      <c r="AY23" s="67"/>
    </row>
    <row r="24" spans="1:51" ht="20.100000000000001" customHeight="1" x14ac:dyDescent="0.25">
      <c r="A24" s="21">
        <v>15</v>
      </c>
      <c r="B24" s="33" t="s">
        <v>190</v>
      </c>
      <c r="C24" s="532">
        <v>248855190</v>
      </c>
      <c r="D24" s="74" t="s">
        <v>330</v>
      </c>
      <c r="E24" s="484" t="s">
        <v>355</v>
      </c>
      <c r="F24" s="311" t="s">
        <v>133</v>
      </c>
      <c r="G24" s="76">
        <v>22</v>
      </c>
      <c r="H24" s="35">
        <v>0</v>
      </c>
      <c r="I24" s="35">
        <f t="shared" si="3"/>
        <v>0</v>
      </c>
      <c r="J24" s="77"/>
      <c r="K24" s="48">
        <f t="shared" si="4"/>
        <v>0</v>
      </c>
      <c r="L24" s="112"/>
      <c r="M24" s="486">
        <v>255000</v>
      </c>
      <c r="N24" s="48">
        <f t="shared" si="5"/>
        <v>255000</v>
      </c>
      <c r="O24" s="28">
        <f t="shared" si="6"/>
        <v>255000</v>
      </c>
      <c r="P24" s="48">
        <f t="shared" si="0"/>
        <v>0</v>
      </c>
      <c r="Q24" s="451"/>
      <c r="R24" s="77"/>
      <c r="S24" s="527"/>
      <c r="T24" s="526"/>
      <c r="U24" s="31"/>
      <c r="V24" s="48">
        <f t="shared" si="7"/>
        <v>0</v>
      </c>
      <c r="W24" s="31"/>
      <c r="X24" s="48">
        <f t="shared" si="8"/>
        <v>0</v>
      </c>
      <c r="Y24" s="31"/>
      <c r="Z24" s="48">
        <f t="shared" si="9"/>
        <v>0</v>
      </c>
      <c r="AA24" s="31"/>
      <c r="AB24" s="48">
        <f t="shared" si="10"/>
        <v>0</v>
      </c>
      <c r="AC24" s="31">
        <v>0</v>
      </c>
      <c r="AD24" s="48">
        <f t="shared" si="11"/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0</v>
      </c>
      <c r="AJ24" s="280">
        <v>0</v>
      </c>
      <c r="AK24" s="283">
        <f t="shared" si="12"/>
        <v>255000</v>
      </c>
      <c r="AL24" s="60">
        <v>0</v>
      </c>
      <c r="AM24" s="60">
        <v>0</v>
      </c>
      <c r="AN24" s="60">
        <f t="shared" si="15"/>
        <v>16760</v>
      </c>
      <c r="AO24" s="36">
        <f t="shared" si="1"/>
        <v>4335</v>
      </c>
      <c r="AP24" s="30">
        <v>0</v>
      </c>
      <c r="AQ24" s="36">
        <f t="shared" si="16"/>
        <v>0</v>
      </c>
      <c r="AR24" s="26">
        <f t="shared" si="2"/>
        <v>34100</v>
      </c>
      <c r="AS24" s="26">
        <v>0</v>
      </c>
      <c r="AT24" s="26">
        <v>0</v>
      </c>
      <c r="AU24" s="26">
        <v>0</v>
      </c>
      <c r="AV24" s="67">
        <f t="shared" si="13"/>
        <v>55195</v>
      </c>
      <c r="AW24" s="278">
        <f t="shared" si="14"/>
        <v>199805</v>
      </c>
      <c r="AX24" s="67"/>
      <c r="AY24" s="67"/>
    </row>
    <row r="25" spans="1:51" ht="20.100000000000001" customHeight="1" x14ac:dyDescent="0.25">
      <c r="A25" s="21">
        <v>16</v>
      </c>
      <c r="B25" s="33" t="s">
        <v>191</v>
      </c>
      <c r="C25" s="532">
        <v>881113478</v>
      </c>
      <c r="D25" s="74" t="s">
        <v>137</v>
      </c>
      <c r="E25" s="484" t="s">
        <v>356</v>
      </c>
      <c r="F25" s="311" t="s">
        <v>133</v>
      </c>
      <c r="G25" s="76">
        <v>22</v>
      </c>
      <c r="H25" s="35">
        <v>0</v>
      </c>
      <c r="I25" s="35">
        <f t="shared" si="3"/>
        <v>0</v>
      </c>
      <c r="J25" s="77"/>
      <c r="K25" s="48">
        <f t="shared" si="4"/>
        <v>0</v>
      </c>
      <c r="L25" s="112"/>
      <c r="M25" s="486">
        <v>255000</v>
      </c>
      <c r="N25" s="48">
        <f t="shared" si="5"/>
        <v>255000</v>
      </c>
      <c r="O25" s="28">
        <f t="shared" si="6"/>
        <v>255000</v>
      </c>
      <c r="P25" s="48">
        <f t="shared" si="0"/>
        <v>0</v>
      </c>
      <c r="Q25" s="451"/>
      <c r="R25" s="77"/>
      <c r="S25" s="527"/>
      <c r="T25" s="526"/>
      <c r="U25" s="31"/>
      <c r="V25" s="48">
        <f t="shared" si="7"/>
        <v>0</v>
      </c>
      <c r="W25" s="31"/>
      <c r="X25" s="48">
        <f t="shared" si="8"/>
        <v>0</v>
      </c>
      <c r="Y25" s="31"/>
      <c r="Z25" s="48">
        <f t="shared" si="9"/>
        <v>0</v>
      </c>
      <c r="AA25" s="31"/>
      <c r="AB25" s="48">
        <f t="shared" si="10"/>
        <v>0</v>
      </c>
      <c r="AC25" s="31">
        <v>0</v>
      </c>
      <c r="AD25" s="48">
        <f t="shared" si="11"/>
        <v>0</v>
      </c>
      <c r="AE25" s="48">
        <v>0</v>
      </c>
      <c r="AF25" s="48">
        <v>0</v>
      </c>
      <c r="AG25" s="48">
        <v>0</v>
      </c>
      <c r="AH25" s="48">
        <v>0</v>
      </c>
      <c r="AI25" s="48">
        <v>0</v>
      </c>
      <c r="AJ25" s="280">
        <v>0</v>
      </c>
      <c r="AK25" s="283">
        <f t="shared" si="12"/>
        <v>255000</v>
      </c>
      <c r="AL25" s="60">
        <v>0</v>
      </c>
      <c r="AM25" s="60">
        <v>0</v>
      </c>
      <c r="AN25" s="60">
        <f t="shared" si="15"/>
        <v>16760</v>
      </c>
      <c r="AO25" s="36">
        <f t="shared" si="1"/>
        <v>4335</v>
      </c>
      <c r="AP25" s="30">
        <v>0</v>
      </c>
      <c r="AQ25" s="36">
        <f t="shared" si="16"/>
        <v>0</v>
      </c>
      <c r="AR25" s="26">
        <f t="shared" si="2"/>
        <v>34100</v>
      </c>
      <c r="AS25" s="26">
        <v>0</v>
      </c>
      <c r="AT25" s="26">
        <v>0</v>
      </c>
      <c r="AU25" s="26">
        <v>0</v>
      </c>
      <c r="AV25" s="67">
        <f t="shared" si="13"/>
        <v>55195</v>
      </c>
      <c r="AW25" s="278">
        <f t="shared" si="14"/>
        <v>199805</v>
      </c>
      <c r="AX25" s="67"/>
      <c r="AY25" s="67"/>
    </row>
    <row r="26" spans="1:51" ht="20.100000000000001" customHeight="1" thickBot="1" x14ac:dyDescent="0.3">
      <c r="A26" s="21">
        <v>17</v>
      </c>
      <c r="B26" s="33" t="s">
        <v>192</v>
      </c>
      <c r="C26" s="532">
        <v>221448664</v>
      </c>
      <c r="D26" s="74" t="s">
        <v>328</v>
      </c>
      <c r="E26" s="484" t="s">
        <v>357</v>
      </c>
      <c r="F26" s="482" t="s">
        <v>133</v>
      </c>
      <c r="G26" s="76">
        <v>22</v>
      </c>
      <c r="H26" s="35">
        <v>0</v>
      </c>
      <c r="I26" s="35">
        <f t="shared" si="3"/>
        <v>0</v>
      </c>
      <c r="J26" s="77"/>
      <c r="K26" s="48">
        <f t="shared" si="4"/>
        <v>0</v>
      </c>
      <c r="L26" s="112"/>
      <c r="M26" s="486">
        <v>255000</v>
      </c>
      <c r="N26" s="48">
        <f t="shared" si="5"/>
        <v>255000</v>
      </c>
      <c r="O26" s="28">
        <f t="shared" si="6"/>
        <v>255000</v>
      </c>
      <c r="P26" s="48">
        <f t="shared" si="0"/>
        <v>0</v>
      </c>
      <c r="Q26" s="451"/>
      <c r="R26" s="77"/>
      <c r="S26" s="527"/>
      <c r="T26" s="526"/>
      <c r="U26" s="31"/>
      <c r="V26" s="48">
        <f t="shared" si="7"/>
        <v>0</v>
      </c>
      <c r="W26" s="31"/>
      <c r="X26" s="48">
        <f t="shared" si="8"/>
        <v>0</v>
      </c>
      <c r="Y26" s="31"/>
      <c r="Z26" s="48">
        <f t="shared" si="9"/>
        <v>0</v>
      </c>
      <c r="AA26" s="31"/>
      <c r="AB26" s="48">
        <f t="shared" si="10"/>
        <v>0</v>
      </c>
      <c r="AC26" s="31">
        <v>0</v>
      </c>
      <c r="AD26" s="48">
        <f t="shared" si="11"/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0</v>
      </c>
      <c r="AJ26" s="280">
        <v>0</v>
      </c>
      <c r="AK26" s="283">
        <f t="shared" si="12"/>
        <v>255000</v>
      </c>
      <c r="AL26" s="60">
        <v>0</v>
      </c>
      <c r="AM26" s="60">
        <v>0</v>
      </c>
      <c r="AN26" s="60">
        <f t="shared" si="15"/>
        <v>16760</v>
      </c>
      <c r="AO26" s="36">
        <f t="shared" si="1"/>
        <v>4335</v>
      </c>
      <c r="AP26" s="30">
        <v>0</v>
      </c>
      <c r="AQ26" s="36">
        <f t="shared" si="16"/>
        <v>0</v>
      </c>
      <c r="AR26" s="26">
        <f t="shared" si="2"/>
        <v>34100</v>
      </c>
      <c r="AS26" s="26">
        <v>0</v>
      </c>
      <c r="AT26" s="26">
        <v>0</v>
      </c>
      <c r="AU26" s="26">
        <v>0</v>
      </c>
      <c r="AV26" s="67">
        <f t="shared" si="13"/>
        <v>55195</v>
      </c>
      <c r="AW26" s="278">
        <f t="shared" si="14"/>
        <v>199805</v>
      </c>
      <c r="AX26" s="67"/>
      <c r="AY26" s="67"/>
    </row>
    <row r="27" spans="1:51" ht="20.100000000000001" customHeight="1" x14ac:dyDescent="0.25">
      <c r="A27" s="21">
        <v>18</v>
      </c>
      <c r="B27" s="33" t="s">
        <v>193</v>
      </c>
      <c r="C27" s="532">
        <v>950169649</v>
      </c>
      <c r="D27" s="74" t="s">
        <v>329</v>
      </c>
      <c r="E27" s="484" t="s">
        <v>358</v>
      </c>
      <c r="F27" s="310" t="s">
        <v>363</v>
      </c>
      <c r="G27" s="76">
        <v>22</v>
      </c>
      <c r="H27" s="35">
        <v>0</v>
      </c>
      <c r="I27" s="35">
        <f t="shared" si="3"/>
        <v>0</v>
      </c>
      <c r="J27" s="77"/>
      <c r="K27" s="48">
        <f t="shared" si="4"/>
        <v>0</v>
      </c>
      <c r="L27" s="112"/>
      <c r="M27" s="486">
        <v>191250</v>
      </c>
      <c r="N27" s="48">
        <f t="shared" si="5"/>
        <v>191250</v>
      </c>
      <c r="O27" s="28">
        <f t="shared" si="6"/>
        <v>191250</v>
      </c>
      <c r="P27" s="48">
        <f t="shared" si="0"/>
        <v>0</v>
      </c>
      <c r="Q27" s="451"/>
      <c r="R27" s="77"/>
      <c r="S27" s="527"/>
      <c r="T27" s="526"/>
      <c r="U27" s="31"/>
      <c r="V27" s="48">
        <f t="shared" si="7"/>
        <v>0</v>
      </c>
      <c r="W27" s="31"/>
      <c r="X27" s="48">
        <f t="shared" si="8"/>
        <v>0</v>
      </c>
      <c r="Y27" s="31"/>
      <c r="Z27" s="48">
        <f t="shared" si="9"/>
        <v>0</v>
      </c>
      <c r="AA27" s="31"/>
      <c r="AB27" s="48">
        <f t="shared" si="10"/>
        <v>0</v>
      </c>
      <c r="AC27" s="31">
        <v>0</v>
      </c>
      <c r="AD27" s="48">
        <f t="shared" si="11"/>
        <v>0</v>
      </c>
      <c r="AE27" s="48">
        <v>0</v>
      </c>
      <c r="AF27" s="48">
        <v>0</v>
      </c>
      <c r="AG27" s="48">
        <v>0</v>
      </c>
      <c r="AH27" s="48">
        <v>0</v>
      </c>
      <c r="AI27" s="48">
        <v>0</v>
      </c>
      <c r="AJ27" s="280">
        <v>0</v>
      </c>
      <c r="AK27" s="283">
        <f t="shared" si="12"/>
        <v>191250</v>
      </c>
      <c r="AL27" s="60">
        <v>0</v>
      </c>
      <c r="AM27" s="60">
        <v>0</v>
      </c>
      <c r="AN27" s="60">
        <f t="shared" si="15"/>
        <v>16760</v>
      </c>
      <c r="AO27" s="36">
        <f t="shared" si="1"/>
        <v>3251</v>
      </c>
      <c r="AP27" s="30">
        <v>0</v>
      </c>
      <c r="AQ27" s="36">
        <f t="shared" si="16"/>
        <v>0</v>
      </c>
      <c r="AR27" s="26">
        <f t="shared" si="2"/>
        <v>20963</v>
      </c>
      <c r="AS27" s="26">
        <v>0</v>
      </c>
      <c r="AT27" s="26">
        <v>0</v>
      </c>
      <c r="AU27" s="26">
        <v>0</v>
      </c>
      <c r="AV27" s="67">
        <f t="shared" si="13"/>
        <v>40974</v>
      </c>
      <c r="AW27" s="278">
        <f t="shared" si="14"/>
        <v>150276</v>
      </c>
      <c r="AX27" s="67"/>
      <c r="AY27" s="67"/>
    </row>
    <row r="28" spans="1:51" ht="20.100000000000001" customHeight="1" x14ac:dyDescent="0.25">
      <c r="A28" s="21">
        <v>19</v>
      </c>
      <c r="B28" s="33" t="s">
        <v>194</v>
      </c>
      <c r="C28" s="532">
        <v>974363789</v>
      </c>
      <c r="D28" s="74" t="s">
        <v>138</v>
      </c>
      <c r="E28" s="484" t="s">
        <v>359</v>
      </c>
      <c r="F28" s="311" t="s">
        <v>363</v>
      </c>
      <c r="G28" s="76">
        <v>22</v>
      </c>
      <c r="H28" s="35">
        <v>0</v>
      </c>
      <c r="I28" s="35">
        <f t="shared" si="3"/>
        <v>0</v>
      </c>
      <c r="J28" s="77"/>
      <c r="K28" s="48">
        <f t="shared" si="4"/>
        <v>0</v>
      </c>
      <c r="L28" s="112"/>
      <c r="M28" s="486">
        <v>191250</v>
      </c>
      <c r="N28" s="48">
        <f t="shared" si="5"/>
        <v>191250</v>
      </c>
      <c r="O28" s="28">
        <f t="shared" si="6"/>
        <v>191250</v>
      </c>
      <c r="P28" s="48">
        <f t="shared" si="0"/>
        <v>0</v>
      </c>
      <c r="Q28" s="451"/>
      <c r="R28" s="77"/>
      <c r="S28" s="527"/>
      <c r="T28" s="526"/>
      <c r="U28" s="31"/>
      <c r="V28" s="48">
        <f t="shared" si="7"/>
        <v>0</v>
      </c>
      <c r="W28" s="31"/>
      <c r="X28" s="48">
        <f t="shared" si="8"/>
        <v>0</v>
      </c>
      <c r="Y28" s="31"/>
      <c r="Z28" s="48">
        <f t="shared" si="9"/>
        <v>0</v>
      </c>
      <c r="AA28" s="31"/>
      <c r="AB28" s="48">
        <f t="shared" si="10"/>
        <v>0</v>
      </c>
      <c r="AC28" s="31">
        <v>0</v>
      </c>
      <c r="AD28" s="48">
        <f t="shared" si="11"/>
        <v>0</v>
      </c>
      <c r="AE28" s="48">
        <v>0</v>
      </c>
      <c r="AF28" s="48">
        <v>0</v>
      </c>
      <c r="AG28" s="48">
        <v>0</v>
      </c>
      <c r="AH28" s="48">
        <v>0</v>
      </c>
      <c r="AI28" s="48">
        <v>0</v>
      </c>
      <c r="AJ28" s="280">
        <v>0</v>
      </c>
      <c r="AK28" s="283">
        <f t="shared" si="12"/>
        <v>191250</v>
      </c>
      <c r="AL28" s="60">
        <v>0</v>
      </c>
      <c r="AM28" s="60">
        <v>0</v>
      </c>
      <c r="AN28" s="60">
        <f t="shared" si="15"/>
        <v>16760</v>
      </c>
      <c r="AO28" s="36">
        <f t="shared" si="1"/>
        <v>3251</v>
      </c>
      <c r="AP28" s="30">
        <v>0</v>
      </c>
      <c r="AQ28" s="36">
        <f t="shared" si="16"/>
        <v>0</v>
      </c>
      <c r="AR28" s="26">
        <f t="shared" si="2"/>
        <v>20963</v>
      </c>
      <c r="AS28" s="26">
        <v>0</v>
      </c>
      <c r="AT28" s="26">
        <v>0</v>
      </c>
      <c r="AU28" s="26">
        <v>0</v>
      </c>
      <c r="AV28" s="67">
        <f t="shared" si="13"/>
        <v>40974</v>
      </c>
      <c r="AW28" s="278">
        <f t="shared" si="14"/>
        <v>150276</v>
      </c>
      <c r="AX28" s="67"/>
      <c r="AY28" s="67"/>
    </row>
    <row r="29" spans="1:51" ht="20.100000000000001" customHeight="1" x14ac:dyDescent="0.25">
      <c r="A29" s="21">
        <v>20</v>
      </c>
      <c r="B29" s="33" t="s">
        <v>195</v>
      </c>
      <c r="C29" s="532">
        <v>223902314</v>
      </c>
      <c r="D29" s="74" t="s">
        <v>135</v>
      </c>
      <c r="E29" s="484" t="s">
        <v>360</v>
      </c>
      <c r="F29" s="311" t="s">
        <v>363</v>
      </c>
      <c r="G29" s="76">
        <v>22</v>
      </c>
      <c r="H29" s="35">
        <v>0</v>
      </c>
      <c r="I29" s="35">
        <f t="shared" si="3"/>
        <v>0</v>
      </c>
      <c r="J29" s="77"/>
      <c r="K29" s="48">
        <f t="shared" si="4"/>
        <v>0</v>
      </c>
      <c r="L29" s="112"/>
      <c r="M29" s="486">
        <v>191250</v>
      </c>
      <c r="N29" s="48">
        <f t="shared" si="5"/>
        <v>191250</v>
      </c>
      <c r="O29" s="28">
        <f t="shared" si="6"/>
        <v>191250</v>
      </c>
      <c r="P29" s="48">
        <f t="shared" si="0"/>
        <v>0</v>
      </c>
      <c r="Q29" s="451"/>
      <c r="R29" s="77"/>
      <c r="S29" s="527"/>
      <c r="T29" s="526"/>
      <c r="U29" s="31"/>
      <c r="V29" s="48">
        <f t="shared" si="7"/>
        <v>0</v>
      </c>
      <c r="W29" s="31"/>
      <c r="X29" s="48">
        <f t="shared" si="8"/>
        <v>0</v>
      </c>
      <c r="Y29" s="31"/>
      <c r="Z29" s="48">
        <f t="shared" si="9"/>
        <v>0</v>
      </c>
      <c r="AA29" s="31"/>
      <c r="AB29" s="48">
        <f t="shared" si="10"/>
        <v>0</v>
      </c>
      <c r="AC29" s="31">
        <v>0</v>
      </c>
      <c r="AD29" s="48">
        <f t="shared" si="11"/>
        <v>0</v>
      </c>
      <c r="AE29" s="48">
        <v>0</v>
      </c>
      <c r="AF29" s="48">
        <v>0</v>
      </c>
      <c r="AG29" s="48">
        <v>0</v>
      </c>
      <c r="AH29" s="48">
        <v>0</v>
      </c>
      <c r="AI29" s="48">
        <v>0</v>
      </c>
      <c r="AJ29" s="280">
        <v>0</v>
      </c>
      <c r="AK29" s="283">
        <f t="shared" si="12"/>
        <v>191250</v>
      </c>
      <c r="AL29" s="60">
        <v>0</v>
      </c>
      <c r="AM29" s="60">
        <v>0</v>
      </c>
      <c r="AN29" s="60">
        <f t="shared" si="15"/>
        <v>16760</v>
      </c>
      <c r="AO29" s="36">
        <f t="shared" si="1"/>
        <v>3251</v>
      </c>
      <c r="AP29" s="30">
        <v>0</v>
      </c>
      <c r="AQ29" s="36">
        <f t="shared" si="16"/>
        <v>0</v>
      </c>
      <c r="AR29" s="26">
        <f t="shared" si="2"/>
        <v>20963</v>
      </c>
      <c r="AS29" s="26">
        <v>0</v>
      </c>
      <c r="AT29" s="26">
        <v>0</v>
      </c>
      <c r="AU29" s="26">
        <v>0</v>
      </c>
      <c r="AV29" s="67">
        <f t="shared" si="13"/>
        <v>40974</v>
      </c>
      <c r="AW29" s="278">
        <f t="shared" si="14"/>
        <v>150276</v>
      </c>
      <c r="AX29" s="67"/>
      <c r="AY29" s="67"/>
    </row>
    <row r="30" spans="1:51" ht="20.100000000000001" customHeight="1" x14ac:dyDescent="0.25">
      <c r="A30" s="21">
        <v>21</v>
      </c>
      <c r="B30" s="33" t="s">
        <v>196</v>
      </c>
      <c r="C30" s="532">
        <v>455834907</v>
      </c>
      <c r="D30" s="74" t="s">
        <v>136</v>
      </c>
      <c r="E30" s="484" t="s">
        <v>361</v>
      </c>
      <c r="F30" s="311" t="s">
        <v>363</v>
      </c>
      <c r="G30" s="76">
        <v>22</v>
      </c>
      <c r="H30" s="35">
        <v>0</v>
      </c>
      <c r="I30" s="35">
        <f t="shared" si="3"/>
        <v>0</v>
      </c>
      <c r="J30" s="77"/>
      <c r="K30" s="48">
        <f t="shared" si="4"/>
        <v>0</v>
      </c>
      <c r="L30" s="112"/>
      <c r="M30" s="486">
        <v>191250</v>
      </c>
      <c r="N30" s="48">
        <f t="shared" si="5"/>
        <v>191250</v>
      </c>
      <c r="O30" s="28">
        <f t="shared" si="6"/>
        <v>191250</v>
      </c>
      <c r="P30" s="48">
        <f t="shared" si="0"/>
        <v>0</v>
      </c>
      <c r="Q30" s="451"/>
      <c r="R30" s="77"/>
      <c r="S30" s="527"/>
      <c r="T30" s="526"/>
      <c r="U30" s="31"/>
      <c r="V30" s="48">
        <f t="shared" si="7"/>
        <v>0</v>
      </c>
      <c r="W30" s="31"/>
      <c r="X30" s="48">
        <f t="shared" si="8"/>
        <v>0</v>
      </c>
      <c r="Y30" s="31"/>
      <c r="Z30" s="48">
        <f t="shared" si="9"/>
        <v>0</v>
      </c>
      <c r="AA30" s="31"/>
      <c r="AB30" s="48">
        <f t="shared" si="10"/>
        <v>0</v>
      </c>
      <c r="AC30" s="31">
        <v>0</v>
      </c>
      <c r="AD30" s="48">
        <f t="shared" si="11"/>
        <v>0</v>
      </c>
      <c r="AE30" s="48">
        <v>0</v>
      </c>
      <c r="AF30" s="48">
        <v>0</v>
      </c>
      <c r="AG30" s="48">
        <v>0</v>
      </c>
      <c r="AH30" s="48">
        <v>0</v>
      </c>
      <c r="AI30" s="48">
        <v>0</v>
      </c>
      <c r="AJ30" s="280">
        <v>0</v>
      </c>
      <c r="AK30" s="283">
        <f t="shared" si="12"/>
        <v>191250</v>
      </c>
      <c r="AL30" s="60">
        <v>0</v>
      </c>
      <c r="AM30" s="60">
        <v>0</v>
      </c>
      <c r="AN30" s="60">
        <f t="shared" si="15"/>
        <v>16760</v>
      </c>
      <c r="AO30" s="36">
        <f t="shared" si="1"/>
        <v>3251</v>
      </c>
      <c r="AP30" s="30">
        <v>0</v>
      </c>
      <c r="AQ30" s="36">
        <f t="shared" si="16"/>
        <v>0</v>
      </c>
      <c r="AR30" s="26">
        <f t="shared" si="2"/>
        <v>20963</v>
      </c>
      <c r="AS30" s="26">
        <v>0</v>
      </c>
      <c r="AT30" s="26">
        <v>0</v>
      </c>
      <c r="AU30" s="26">
        <v>0</v>
      </c>
      <c r="AV30" s="67">
        <f t="shared" si="13"/>
        <v>40974</v>
      </c>
      <c r="AW30" s="278">
        <f t="shared" si="14"/>
        <v>150276</v>
      </c>
      <c r="AX30" s="67"/>
      <c r="AY30" s="67"/>
    </row>
    <row r="31" spans="1:51" ht="20.100000000000001" customHeight="1" x14ac:dyDescent="0.25">
      <c r="A31" s="21">
        <v>22</v>
      </c>
      <c r="B31" s="33" t="s">
        <v>197</v>
      </c>
      <c r="C31" s="532">
        <v>236813100</v>
      </c>
      <c r="D31" s="74" t="s">
        <v>141</v>
      </c>
      <c r="E31" s="484" t="s">
        <v>362</v>
      </c>
      <c r="F31" s="311" t="s">
        <v>363</v>
      </c>
      <c r="G31" s="76">
        <v>22</v>
      </c>
      <c r="H31" s="35">
        <v>0</v>
      </c>
      <c r="I31" s="35">
        <f t="shared" si="3"/>
        <v>0</v>
      </c>
      <c r="J31" s="77"/>
      <c r="K31" s="48">
        <f t="shared" si="4"/>
        <v>0</v>
      </c>
      <c r="L31" s="112"/>
      <c r="M31" s="486">
        <v>191250</v>
      </c>
      <c r="N31" s="48">
        <f t="shared" si="5"/>
        <v>191250</v>
      </c>
      <c r="O31" s="28">
        <f t="shared" si="6"/>
        <v>191250</v>
      </c>
      <c r="P31" s="48">
        <f t="shared" si="0"/>
        <v>0</v>
      </c>
      <c r="Q31" s="451"/>
      <c r="R31" s="77"/>
      <c r="S31" s="527"/>
      <c r="T31" s="526"/>
      <c r="U31" s="31"/>
      <c r="V31" s="48">
        <f t="shared" si="7"/>
        <v>0</v>
      </c>
      <c r="W31" s="31"/>
      <c r="X31" s="48">
        <f t="shared" si="8"/>
        <v>0</v>
      </c>
      <c r="Y31" s="31"/>
      <c r="Z31" s="48">
        <f t="shared" si="9"/>
        <v>0</v>
      </c>
      <c r="AA31" s="31"/>
      <c r="AB31" s="48">
        <f t="shared" si="10"/>
        <v>0</v>
      </c>
      <c r="AC31" s="31">
        <v>0</v>
      </c>
      <c r="AD31" s="48">
        <f t="shared" si="11"/>
        <v>0</v>
      </c>
      <c r="AE31" s="48">
        <v>0</v>
      </c>
      <c r="AF31" s="48">
        <v>0</v>
      </c>
      <c r="AG31" s="48">
        <v>0</v>
      </c>
      <c r="AH31" s="48">
        <v>0</v>
      </c>
      <c r="AI31" s="48">
        <v>0</v>
      </c>
      <c r="AJ31" s="280">
        <v>0</v>
      </c>
      <c r="AK31" s="283">
        <f t="shared" si="12"/>
        <v>191250</v>
      </c>
      <c r="AL31" s="60">
        <v>0</v>
      </c>
      <c r="AM31" s="60">
        <v>0</v>
      </c>
      <c r="AN31" s="60">
        <f t="shared" si="15"/>
        <v>16760</v>
      </c>
      <c r="AO31" s="36">
        <f t="shared" si="1"/>
        <v>3251</v>
      </c>
      <c r="AP31" s="30">
        <v>0</v>
      </c>
      <c r="AQ31" s="36">
        <f t="shared" si="16"/>
        <v>0</v>
      </c>
      <c r="AR31" s="26">
        <f t="shared" si="2"/>
        <v>20963</v>
      </c>
      <c r="AS31" s="26">
        <v>0</v>
      </c>
      <c r="AT31" s="26">
        <v>0</v>
      </c>
      <c r="AU31" s="26">
        <v>0</v>
      </c>
      <c r="AV31" s="67">
        <f t="shared" si="13"/>
        <v>40974</v>
      </c>
      <c r="AW31" s="278">
        <f t="shared" si="14"/>
        <v>150276</v>
      </c>
      <c r="AX31" s="67"/>
      <c r="AY31" s="67"/>
    </row>
    <row r="32" spans="1:51" ht="32.1" customHeight="1" thickBot="1" x14ac:dyDescent="0.35">
      <c r="A32" s="501"/>
      <c r="B32" s="502"/>
      <c r="C32" s="533"/>
      <c r="D32" s="533"/>
      <c r="E32" s="504" t="s">
        <v>463</v>
      </c>
      <c r="F32" s="505"/>
      <c r="G32" s="506"/>
      <c r="H32" s="507"/>
      <c r="I32" s="507"/>
      <c r="J32" s="508"/>
      <c r="K32" s="509"/>
      <c r="L32" s="508"/>
      <c r="M32" s="508"/>
      <c r="N32" s="510"/>
      <c r="O32" s="503"/>
      <c r="P32" s="510"/>
      <c r="Q32" s="519" t="s">
        <v>470</v>
      </c>
      <c r="R32" s="508"/>
      <c r="S32" s="508"/>
      <c r="T32" s="519" t="s">
        <v>468</v>
      </c>
      <c r="U32" s="507"/>
      <c r="V32" s="510"/>
      <c r="W32" s="507"/>
      <c r="X32" s="510"/>
      <c r="Y32" s="507"/>
      <c r="Z32" s="510"/>
      <c r="AA32" s="507"/>
      <c r="AB32" s="510"/>
      <c r="AC32" s="507"/>
      <c r="AD32" s="511"/>
      <c r="AE32" s="511"/>
      <c r="AF32" s="511"/>
      <c r="AG32" s="511"/>
      <c r="AH32" s="511"/>
      <c r="AI32" s="510"/>
      <c r="AJ32" s="512"/>
      <c r="AK32" s="513"/>
      <c r="AL32" s="514"/>
      <c r="AM32" s="514"/>
      <c r="AN32" s="514"/>
      <c r="AO32" s="510"/>
      <c r="AP32" s="515"/>
      <c r="AQ32" s="510"/>
      <c r="AR32" s="510"/>
      <c r="AS32" s="516"/>
      <c r="AT32" s="516"/>
      <c r="AU32" s="516"/>
      <c r="AV32" s="517"/>
      <c r="AW32" s="518"/>
      <c r="AX32" s="517"/>
      <c r="AY32" s="517"/>
    </row>
    <row r="33" spans="1:51" ht="20.100000000000001" customHeight="1" x14ac:dyDescent="0.25">
      <c r="A33" s="32">
        <v>23</v>
      </c>
      <c r="B33" s="33" t="s">
        <v>198</v>
      </c>
      <c r="C33" s="532">
        <v>540100723</v>
      </c>
      <c r="D33" s="74" t="s">
        <v>139</v>
      </c>
      <c r="E33" s="312" t="s">
        <v>398</v>
      </c>
      <c r="F33" s="489" t="s">
        <v>383</v>
      </c>
      <c r="G33" s="75">
        <v>22</v>
      </c>
      <c r="H33" s="35">
        <v>0</v>
      </c>
      <c r="I33" s="35">
        <f t="shared" si="3"/>
        <v>0</v>
      </c>
      <c r="J33" s="77">
        <v>14000</v>
      </c>
      <c r="K33" s="48">
        <f t="shared" si="4"/>
        <v>14000</v>
      </c>
      <c r="L33" s="111"/>
      <c r="M33" s="485">
        <v>235000</v>
      </c>
      <c r="N33" s="48">
        <f t="shared" si="5"/>
        <v>235000</v>
      </c>
      <c r="O33" s="28">
        <f t="shared" si="6"/>
        <v>250410</v>
      </c>
      <c r="P33" s="48">
        <f t="shared" si="0"/>
        <v>0</v>
      </c>
      <c r="Q33" s="523">
        <f>IF(R33&lt;=10,R33*0.6%,IF(R33&lt;=20,6%+(R33-10)*0.8%,IF(R33&lt;=30,14%+(R33-20)*1%,24%)))</f>
        <v>6.0000000000000001E-3</v>
      </c>
      <c r="R33" s="77">
        <v>1</v>
      </c>
      <c r="S33" s="82" t="s">
        <v>118</v>
      </c>
      <c r="T33" s="496">
        <f t="shared" ref="T33:T74" si="17">ROUND(N33*(Q33),0)</f>
        <v>1410</v>
      </c>
      <c r="U33" s="35"/>
      <c r="V33" s="48">
        <f t="shared" si="7"/>
        <v>0</v>
      </c>
      <c r="W33" s="35"/>
      <c r="X33" s="48">
        <f t="shared" si="8"/>
        <v>0</v>
      </c>
      <c r="Y33" s="35"/>
      <c r="Z33" s="48">
        <f t="shared" si="9"/>
        <v>0</v>
      </c>
      <c r="AA33" s="35"/>
      <c r="AB33" s="48">
        <f t="shared" si="10"/>
        <v>0</v>
      </c>
      <c r="AC33" s="35">
        <v>0</v>
      </c>
      <c r="AD33" s="48">
        <f t="shared" si="11"/>
        <v>0</v>
      </c>
      <c r="AE33" s="48">
        <v>0</v>
      </c>
      <c r="AF33" s="48">
        <v>0</v>
      </c>
      <c r="AG33" s="48">
        <v>0</v>
      </c>
      <c r="AH33" s="48">
        <v>0</v>
      </c>
      <c r="AI33" s="48">
        <v>0</v>
      </c>
      <c r="AJ33" s="280">
        <v>0</v>
      </c>
      <c r="AK33" s="283">
        <f t="shared" si="12"/>
        <v>250410</v>
      </c>
      <c r="AL33" s="60">
        <v>0</v>
      </c>
      <c r="AM33" s="60">
        <v>0</v>
      </c>
      <c r="AN33" s="60">
        <f t="shared" si="15"/>
        <v>16760</v>
      </c>
      <c r="AO33" s="36">
        <f t="shared" si="1"/>
        <v>4257</v>
      </c>
      <c r="AP33" s="29">
        <v>0</v>
      </c>
      <c r="AQ33" s="36">
        <f t="shared" si="16"/>
        <v>0</v>
      </c>
      <c r="AR33" s="36">
        <f t="shared" si="2"/>
        <v>33044</v>
      </c>
      <c r="AS33" s="36">
        <v>0</v>
      </c>
      <c r="AT33" s="36">
        <v>0</v>
      </c>
      <c r="AU33" s="36">
        <v>0</v>
      </c>
      <c r="AV33" s="66">
        <f t="shared" si="13"/>
        <v>54061</v>
      </c>
      <c r="AW33" s="277">
        <f t="shared" si="14"/>
        <v>196349</v>
      </c>
      <c r="AX33" s="66"/>
      <c r="AY33" s="66"/>
    </row>
    <row r="34" spans="1:51" ht="20.100000000000001" customHeight="1" x14ac:dyDescent="0.25">
      <c r="A34" s="21">
        <v>24</v>
      </c>
      <c r="B34" s="33" t="s">
        <v>199</v>
      </c>
      <c r="C34" s="532">
        <v>575821346</v>
      </c>
      <c r="D34" s="74" t="s">
        <v>140</v>
      </c>
      <c r="E34" s="313" t="s">
        <v>398</v>
      </c>
      <c r="F34" s="311" t="s">
        <v>384</v>
      </c>
      <c r="G34" s="76">
        <v>22</v>
      </c>
      <c r="H34" s="35">
        <v>0</v>
      </c>
      <c r="I34" s="35">
        <f t="shared" si="3"/>
        <v>0</v>
      </c>
      <c r="J34" s="77">
        <v>14000</v>
      </c>
      <c r="K34" s="48">
        <f t="shared" si="4"/>
        <v>14000</v>
      </c>
      <c r="L34" s="112"/>
      <c r="M34" s="486">
        <v>217000</v>
      </c>
      <c r="N34" s="48">
        <f t="shared" si="5"/>
        <v>217000</v>
      </c>
      <c r="O34" s="28">
        <f t="shared" si="6"/>
        <v>233604</v>
      </c>
      <c r="P34" s="48">
        <f t="shared" si="0"/>
        <v>0</v>
      </c>
      <c r="Q34" s="523">
        <f t="shared" ref="Q34:Q46" si="18">IF(R34&lt;=10,R34*0.6%,IF(R34&lt;=20,6%+(R34-10)*0.8%,IF(R34&lt;=30,14%+(R34-20)*1%,24%)))</f>
        <v>1.2E-2</v>
      </c>
      <c r="R34" s="77">
        <v>2</v>
      </c>
      <c r="S34" s="82" t="s">
        <v>119</v>
      </c>
      <c r="T34" s="496">
        <f t="shared" si="17"/>
        <v>2604</v>
      </c>
      <c r="U34" s="31"/>
      <c r="V34" s="48">
        <f t="shared" si="7"/>
        <v>0</v>
      </c>
      <c r="W34" s="31"/>
      <c r="X34" s="48">
        <f t="shared" si="8"/>
        <v>0</v>
      </c>
      <c r="Y34" s="31"/>
      <c r="Z34" s="48">
        <f t="shared" si="9"/>
        <v>0</v>
      </c>
      <c r="AA34" s="31"/>
      <c r="AB34" s="48">
        <f t="shared" si="10"/>
        <v>0</v>
      </c>
      <c r="AC34" s="31">
        <v>0</v>
      </c>
      <c r="AD34" s="48">
        <f t="shared" si="11"/>
        <v>0</v>
      </c>
      <c r="AE34" s="48">
        <v>0</v>
      </c>
      <c r="AF34" s="48">
        <v>0</v>
      </c>
      <c r="AG34" s="48">
        <v>0</v>
      </c>
      <c r="AH34" s="48">
        <v>0</v>
      </c>
      <c r="AI34" s="48">
        <v>0</v>
      </c>
      <c r="AJ34" s="280">
        <v>0</v>
      </c>
      <c r="AK34" s="283">
        <f t="shared" si="12"/>
        <v>233604</v>
      </c>
      <c r="AL34" s="60">
        <v>0</v>
      </c>
      <c r="AM34" s="60">
        <v>0</v>
      </c>
      <c r="AN34" s="60">
        <f t="shared" si="15"/>
        <v>16760</v>
      </c>
      <c r="AO34" s="36">
        <f t="shared" si="1"/>
        <v>3971</v>
      </c>
      <c r="AP34" s="30">
        <v>0</v>
      </c>
      <c r="AQ34" s="36">
        <f t="shared" si="16"/>
        <v>0</v>
      </c>
      <c r="AR34" s="26">
        <f t="shared" si="2"/>
        <v>29179</v>
      </c>
      <c r="AS34" s="26">
        <v>0</v>
      </c>
      <c r="AT34" s="26">
        <v>0</v>
      </c>
      <c r="AU34" s="26">
        <v>0</v>
      </c>
      <c r="AV34" s="67">
        <f t="shared" si="13"/>
        <v>49910</v>
      </c>
      <c r="AW34" s="278">
        <f t="shared" si="14"/>
        <v>183694</v>
      </c>
      <c r="AX34" s="67"/>
      <c r="AY34" s="67"/>
    </row>
    <row r="35" spans="1:51" ht="20.100000000000001" customHeight="1" x14ac:dyDescent="0.25">
      <c r="A35" s="21">
        <v>25</v>
      </c>
      <c r="B35" s="33" t="s">
        <v>200</v>
      </c>
      <c r="C35" s="532">
        <v>483493370</v>
      </c>
      <c r="D35" s="74" t="s">
        <v>327</v>
      </c>
      <c r="E35" s="313" t="s">
        <v>398</v>
      </c>
      <c r="F35" s="311" t="s">
        <v>385</v>
      </c>
      <c r="G35" s="76">
        <v>22</v>
      </c>
      <c r="H35" s="35">
        <v>0</v>
      </c>
      <c r="I35" s="35">
        <f t="shared" si="3"/>
        <v>0</v>
      </c>
      <c r="J35" s="77">
        <v>14000</v>
      </c>
      <c r="K35" s="48">
        <f t="shared" si="4"/>
        <v>14000</v>
      </c>
      <c r="L35" s="112"/>
      <c r="M35" s="486">
        <v>205000</v>
      </c>
      <c r="N35" s="48">
        <f t="shared" si="5"/>
        <v>205000</v>
      </c>
      <c r="O35" s="28">
        <f t="shared" si="6"/>
        <v>222690</v>
      </c>
      <c r="P35" s="48">
        <f t="shared" si="0"/>
        <v>0</v>
      </c>
      <c r="Q35" s="523">
        <f t="shared" si="18"/>
        <v>1.8000000000000002E-2</v>
      </c>
      <c r="R35" s="77">
        <v>3</v>
      </c>
      <c r="S35" s="82" t="s">
        <v>95</v>
      </c>
      <c r="T35" s="496">
        <f t="shared" si="17"/>
        <v>3690</v>
      </c>
      <c r="U35" s="31"/>
      <c r="V35" s="48">
        <f t="shared" si="7"/>
        <v>0</v>
      </c>
      <c r="W35" s="31"/>
      <c r="X35" s="48">
        <f t="shared" si="8"/>
        <v>0</v>
      </c>
      <c r="Y35" s="31"/>
      <c r="Z35" s="48">
        <f t="shared" si="9"/>
        <v>0</v>
      </c>
      <c r="AA35" s="31"/>
      <c r="AB35" s="48">
        <f t="shared" si="10"/>
        <v>0</v>
      </c>
      <c r="AC35" s="31">
        <v>0</v>
      </c>
      <c r="AD35" s="48">
        <f t="shared" si="11"/>
        <v>0</v>
      </c>
      <c r="AE35" s="48">
        <v>0</v>
      </c>
      <c r="AF35" s="48">
        <v>0</v>
      </c>
      <c r="AG35" s="48">
        <v>0</v>
      </c>
      <c r="AH35" s="48">
        <v>0</v>
      </c>
      <c r="AI35" s="48">
        <v>0</v>
      </c>
      <c r="AJ35" s="280">
        <v>0</v>
      </c>
      <c r="AK35" s="283">
        <f t="shared" si="12"/>
        <v>222690</v>
      </c>
      <c r="AL35" s="60">
        <v>0</v>
      </c>
      <c r="AM35" s="60">
        <v>0</v>
      </c>
      <c r="AN35" s="60">
        <f t="shared" si="15"/>
        <v>16760</v>
      </c>
      <c r="AO35" s="36">
        <f t="shared" si="1"/>
        <v>3786</v>
      </c>
      <c r="AP35" s="30">
        <v>0</v>
      </c>
      <c r="AQ35" s="36">
        <f t="shared" si="16"/>
        <v>0</v>
      </c>
      <c r="AR35" s="26">
        <f t="shared" si="2"/>
        <v>26669</v>
      </c>
      <c r="AS35" s="26">
        <v>0</v>
      </c>
      <c r="AT35" s="26">
        <v>0</v>
      </c>
      <c r="AU35" s="26">
        <v>0</v>
      </c>
      <c r="AV35" s="67">
        <f t="shared" si="13"/>
        <v>47215</v>
      </c>
      <c r="AW35" s="278">
        <f t="shared" si="14"/>
        <v>175475</v>
      </c>
      <c r="AX35" s="67"/>
      <c r="AY35" s="67"/>
    </row>
    <row r="36" spans="1:51" ht="20.100000000000001" customHeight="1" x14ac:dyDescent="0.25">
      <c r="A36" s="21">
        <v>26</v>
      </c>
      <c r="B36" s="33" t="s">
        <v>201</v>
      </c>
      <c r="C36" s="532">
        <v>591394036</v>
      </c>
      <c r="D36" s="74" t="s">
        <v>330</v>
      </c>
      <c r="E36" s="313" t="s">
        <v>398</v>
      </c>
      <c r="F36" s="311" t="s">
        <v>386</v>
      </c>
      <c r="G36" s="76">
        <v>22</v>
      </c>
      <c r="H36" s="35">
        <v>0</v>
      </c>
      <c r="I36" s="35">
        <f t="shared" si="3"/>
        <v>0</v>
      </c>
      <c r="J36" s="77">
        <v>14000</v>
      </c>
      <c r="K36" s="48">
        <f t="shared" si="4"/>
        <v>14000</v>
      </c>
      <c r="L36" s="112"/>
      <c r="M36" s="486">
        <v>180000</v>
      </c>
      <c r="N36" s="48">
        <f t="shared" si="5"/>
        <v>180000</v>
      </c>
      <c r="O36" s="28">
        <f t="shared" si="6"/>
        <v>198320</v>
      </c>
      <c r="P36" s="48">
        <f t="shared" si="0"/>
        <v>0</v>
      </c>
      <c r="Q36" s="523">
        <f t="shared" si="18"/>
        <v>2.4E-2</v>
      </c>
      <c r="R36" s="77">
        <v>4</v>
      </c>
      <c r="S36" s="82" t="s">
        <v>96</v>
      </c>
      <c r="T36" s="496">
        <f t="shared" si="17"/>
        <v>4320</v>
      </c>
      <c r="U36" s="31"/>
      <c r="V36" s="48">
        <f t="shared" si="7"/>
        <v>0</v>
      </c>
      <c r="W36" s="31"/>
      <c r="X36" s="48">
        <f t="shared" si="8"/>
        <v>0</v>
      </c>
      <c r="Y36" s="31"/>
      <c r="Z36" s="48">
        <f t="shared" si="9"/>
        <v>0</v>
      </c>
      <c r="AA36" s="31"/>
      <c r="AB36" s="48">
        <f t="shared" si="10"/>
        <v>0</v>
      </c>
      <c r="AC36" s="31">
        <v>0</v>
      </c>
      <c r="AD36" s="48">
        <f t="shared" si="11"/>
        <v>0</v>
      </c>
      <c r="AE36" s="48">
        <v>0</v>
      </c>
      <c r="AF36" s="48">
        <v>0</v>
      </c>
      <c r="AG36" s="48">
        <v>0</v>
      </c>
      <c r="AH36" s="48">
        <v>0</v>
      </c>
      <c r="AI36" s="48">
        <v>0</v>
      </c>
      <c r="AJ36" s="280">
        <v>0</v>
      </c>
      <c r="AK36" s="283">
        <f t="shared" si="12"/>
        <v>198320</v>
      </c>
      <c r="AL36" s="60">
        <v>0</v>
      </c>
      <c r="AM36" s="60">
        <v>0</v>
      </c>
      <c r="AN36" s="60">
        <f t="shared" si="15"/>
        <v>16760</v>
      </c>
      <c r="AO36" s="36">
        <f t="shared" si="1"/>
        <v>3371</v>
      </c>
      <c r="AP36" s="30">
        <v>0</v>
      </c>
      <c r="AQ36" s="36">
        <f t="shared" si="16"/>
        <v>0</v>
      </c>
      <c r="AR36" s="26">
        <f t="shared" si="2"/>
        <v>21882</v>
      </c>
      <c r="AS36" s="26">
        <v>0</v>
      </c>
      <c r="AT36" s="26">
        <v>0</v>
      </c>
      <c r="AU36" s="26">
        <v>0</v>
      </c>
      <c r="AV36" s="67">
        <f t="shared" si="13"/>
        <v>42013</v>
      </c>
      <c r="AW36" s="278">
        <f t="shared" si="14"/>
        <v>156307</v>
      </c>
      <c r="AX36" s="67"/>
      <c r="AY36" s="67"/>
    </row>
    <row r="37" spans="1:51" ht="20.100000000000001" customHeight="1" thickBot="1" x14ac:dyDescent="0.3">
      <c r="A37" s="21">
        <v>27</v>
      </c>
      <c r="B37" s="33" t="s">
        <v>202</v>
      </c>
      <c r="C37" s="532">
        <v>514579181</v>
      </c>
      <c r="D37" s="74" t="s">
        <v>137</v>
      </c>
      <c r="E37" s="313" t="s">
        <v>398</v>
      </c>
      <c r="F37" s="482" t="s">
        <v>387</v>
      </c>
      <c r="G37" s="76">
        <v>22</v>
      </c>
      <c r="H37" s="35">
        <v>0</v>
      </c>
      <c r="I37" s="35">
        <f t="shared" si="3"/>
        <v>0</v>
      </c>
      <c r="J37" s="77">
        <v>14000</v>
      </c>
      <c r="K37" s="48">
        <f t="shared" si="4"/>
        <v>14000</v>
      </c>
      <c r="L37" s="112"/>
      <c r="M37" s="486">
        <v>170000</v>
      </c>
      <c r="N37" s="48">
        <f t="shared" si="5"/>
        <v>170000</v>
      </c>
      <c r="O37" s="28">
        <f t="shared" si="6"/>
        <v>189100</v>
      </c>
      <c r="P37" s="48">
        <f t="shared" si="0"/>
        <v>0</v>
      </c>
      <c r="Q37" s="523">
        <f t="shared" si="18"/>
        <v>0.03</v>
      </c>
      <c r="R37" s="77">
        <v>5</v>
      </c>
      <c r="S37" s="82" t="s">
        <v>97</v>
      </c>
      <c r="T37" s="496">
        <f t="shared" si="17"/>
        <v>5100</v>
      </c>
      <c r="U37" s="31"/>
      <c r="V37" s="48">
        <f t="shared" si="7"/>
        <v>0</v>
      </c>
      <c r="W37" s="31"/>
      <c r="X37" s="48">
        <f t="shared" si="8"/>
        <v>0</v>
      </c>
      <c r="Y37" s="31"/>
      <c r="Z37" s="48">
        <f t="shared" si="9"/>
        <v>0</v>
      </c>
      <c r="AA37" s="31"/>
      <c r="AB37" s="48">
        <f t="shared" si="10"/>
        <v>0</v>
      </c>
      <c r="AC37" s="31">
        <v>0</v>
      </c>
      <c r="AD37" s="48">
        <f t="shared" si="11"/>
        <v>0</v>
      </c>
      <c r="AE37" s="48">
        <v>0</v>
      </c>
      <c r="AF37" s="48">
        <v>0</v>
      </c>
      <c r="AG37" s="48">
        <v>0</v>
      </c>
      <c r="AH37" s="48">
        <v>0</v>
      </c>
      <c r="AI37" s="48">
        <v>0</v>
      </c>
      <c r="AJ37" s="280">
        <v>0</v>
      </c>
      <c r="AK37" s="283">
        <f t="shared" si="12"/>
        <v>189100</v>
      </c>
      <c r="AL37" s="60">
        <v>0</v>
      </c>
      <c r="AM37" s="60">
        <v>0</v>
      </c>
      <c r="AN37" s="60">
        <f t="shared" si="15"/>
        <v>16760</v>
      </c>
      <c r="AO37" s="36">
        <f t="shared" si="1"/>
        <v>3215</v>
      </c>
      <c r="AP37" s="30">
        <v>0</v>
      </c>
      <c r="AQ37" s="36">
        <f t="shared" si="16"/>
        <v>0</v>
      </c>
      <c r="AR37" s="26">
        <f t="shared" si="2"/>
        <v>20683</v>
      </c>
      <c r="AS37" s="26">
        <v>0</v>
      </c>
      <c r="AT37" s="26">
        <v>0</v>
      </c>
      <c r="AU37" s="26">
        <v>0</v>
      </c>
      <c r="AV37" s="67">
        <f t="shared" si="13"/>
        <v>40658</v>
      </c>
      <c r="AW37" s="278">
        <f t="shared" si="14"/>
        <v>148442</v>
      </c>
      <c r="AX37" s="67"/>
      <c r="AY37" s="67"/>
    </row>
    <row r="38" spans="1:51" ht="20.100000000000001" customHeight="1" x14ac:dyDescent="0.25">
      <c r="A38" s="21">
        <v>28</v>
      </c>
      <c r="B38" s="33" t="s">
        <v>203</v>
      </c>
      <c r="C38" s="532">
        <v>100596098</v>
      </c>
      <c r="D38" s="74" t="s">
        <v>328</v>
      </c>
      <c r="E38" s="313" t="s">
        <v>399</v>
      </c>
      <c r="F38" s="490" t="s">
        <v>388</v>
      </c>
      <c r="G38" s="76">
        <v>22</v>
      </c>
      <c r="H38" s="35">
        <v>0</v>
      </c>
      <c r="I38" s="35">
        <f t="shared" si="3"/>
        <v>0</v>
      </c>
      <c r="J38" s="77">
        <v>14000</v>
      </c>
      <c r="K38" s="48">
        <f t="shared" si="4"/>
        <v>14000</v>
      </c>
      <c r="L38" s="112"/>
      <c r="M38" s="486">
        <v>155000</v>
      </c>
      <c r="N38" s="48">
        <f t="shared" si="5"/>
        <v>155000</v>
      </c>
      <c r="O38" s="28">
        <f t="shared" si="6"/>
        <v>174580</v>
      </c>
      <c r="P38" s="48">
        <f t="shared" si="0"/>
        <v>0</v>
      </c>
      <c r="Q38" s="523">
        <f t="shared" si="18"/>
        <v>3.6000000000000004E-2</v>
      </c>
      <c r="R38" s="77">
        <v>6</v>
      </c>
      <c r="S38" s="82" t="s">
        <v>98</v>
      </c>
      <c r="T38" s="496">
        <f t="shared" si="17"/>
        <v>5580</v>
      </c>
      <c r="U38" s="31"/>
      <c r="V38" s="48">
        <f t="shared" si="7"/>
        <v>0</v>
      </c>
      <c r="W38" s="31"/>
      <c r="X38" s="48">
        <f t="shared" si="8"/>
        <v>0</v>
      </c>
      <c r="Y38" s="31"/>
      <c r="Z38" s="48">
        <f t="shared" si="9"/>
        <v>0</v>
      </c>
      <c r="AA38" s="31"/>
      <c r="AB38" s="48">
        <f t="shared" si="10"/>
        <v>0</v>
      </c>
      <c r="AC38" s="31">
        <v>0</v>
      </c>
      <c r="AD38" s="48">
        <f t="shared" si="11"/>
        <v>0</v>
      </c>
      <c r="AE38" s="48">
        <v>0</v>
      </c>
      <c r="AF38" s="48">
        <v>0</v>
      </c>
      <c r="AG38" s="48">
        <v>0</v>
      </c>
      <c r="AH38" s="48">
        <v>0</v>
      </c>
      <c r="AI38" s="48">
        <v>0</v>
      </c>
      <c r="AJ38" s="280">
        <v>0</v>
      </c>
      <c r="AK38" s="283">
        <f t="shared" si="12"/>
        <v>174580</v>
      </c>
      <c r="AL38" s="60">
        <v>0</v>
      </c>
      <c r="AM38" s="60">
        <v>0</v>
      </c>
      <c r="AN38" s="60">
        <f t="shared" si="15"/>
        <v>16585</v>
      </c>
      <c r="AO38" s="36">
        <f t="shared" si="1"/>
        <v>2968</v>
      </c>
      <c r="AP38" s="30">
        <v>0</v>
      </c>
      <c r="AQ38" s="36">
        <f t="shared" si="16"/>
        <v>0</v>
      </c>
      <c r="AR38" s="26">
        <f t="shared" si="2"/>
        <v>18795</v>
      </c>
      <c r="AS38" s="26">
        <v>0</v>
      </c>
      <c r="AT38" s="26">
        <v>0</v>
      </c>
      <c r="AU38" s="26">
        <v>0</v>
      </c>
      <c r="AV38" s="67">
        <f t="shared" si="13"/>
        <v>38348</v>
      </c>
      <c r="AW38" s="278">
        <f t="shared" si="14"/>
        <v>136232</v>
      </c>
      <c r="AX38" s="67"/>
      <c r="AY38" s="67"/>
    </row>
    <row r="39" spans="1:51" ht="20.100000000000001" customHeight="1" thickBot="1" x14ac:dyDescent="0.3">
      <c r="A39" s="21">
        <v>29</v>
      </c>
      <c r="B39" s="33" t="s">
        <v>204</v>
      </c>
      <c r="C39" s="532">
        <v>785751191</v>
      </c>
      <c r="D39" s="74" t="s">
        <v>330</v>
      </c>
      <c r="E39" s="313" t="s">
        <v>399</v>
      </c>
      <c r="F39" s="482" t="s">
        <v>389</v>
      </c>
      <c r="G39" s="76">
        <v>22</v>
      </c>
      <c r="H39" s="35">
        <v>0</v>
      </c>
      <c r="I39" s="35">
        <f t="shared" si="3"/>
        <v>0</v>
      </c>
      <c r="J39" s="77">
        <v>14000</v>
      </c>
      <c r="K39" s="48">
        <f t="shared" si="4"/>
        <v>14000</v>
      </c>
      <c r="L39" s="112"/>
      <c r="M39" s="486">
        <v>141000</v>
      </c>
      <c r="N39" s="48">
        <f t="shared" si="5"/>
        <v>141000</v>
      </c>
      <c r="O39" s="28">
        <f t="shared" si="6"/>
        <v>160922</v>
      </c>
      <c r="P39" s="48">
        <f t="shared" si="0"/>
        <v>0</v>
      </c>
      <c r="Q39" s="523">
        <f t="shared" si="18"/>
        <v>4.2000000000000003E-2</v>
      </c>
      <c r="R39" s="77">
        <v>7</v>
      </c>
      <c r="S39" s="82" t="s">
        <v>99</v>
      </c>
      <c r="T39" s="496">
        <f t="shared" si="17"/>
        <v>5922</v>
      </c>
      <c r="U39" s="31"/>
      <c r="V39" s="48">
        <f t="shared" si="7"/>
        <v>0</v>
      </c>
      <c r="W39" s="31"/>
      <c r="X39" s="48">
        <f t="shared" si="8"/>
        <v>0</v>
      </c>
      <c r="Y39" s="31"/>
      <c r="Z39" s="48">
        <f t="shared" si="9"/>
        <v>0</v>
      </c>
      <c r="AA39" s="31"/>
      <c r="AB39" s="48">
        <f t="shared" si="10"/>
        <v>0</v>
      </c>
      <c r="AC39" s="31">
        <v>0</v>
      </c>
      <c r="AD39" s="48">
        <f t="shared" si="11"/>
        <v>0</v>
      </c>
      <c r="AE39" s="48">
        <v>0</v>
      </c>
      <c r="AF39" s="48">
        <v>0</v>
      </c>
      <c r="AG39" s="48">
        <v>0</v>
      </c>
      <c r="AH39" s="48">
        <v>0</v>
      </c>
      <c r="AI39" s="48">
        <v>0</v>
      </c>
      <c r="AJ39" s="280">
        <v>0</v>
      </c>
      <c r="AK39" s="283">
        <f t="shared" si="12"/>
        <v>160922</v>
      </c>
      <c r="AL39" s="60">
        <v>0</v>
      </c>
      <c r="AM39" s="60">
        <v>0</v>
      </c>
      <c r="AN39" s="60">
        <f t="shared" si="15"/>
        <v>15288</v>
      </c>
      <c r="AO39" s="36">
        <f t="shared" si="1"/>
        <v>2736</v>
      </c>
      <c r="AP39" s="30">
        <v>0</v>
      </c>
      <c r="AQ39" s="36">
        <f t="shared" si="16"/>
        <v>0</v>
      </c>
      <c r="AR39" s="26">
        <f t="shared" si="2"/>
        <v>17020</v>
      </c>
      <c r="AS39" s="26">
        <v>0</v>
      </c>
      <c r="AT39" s="26">
        <v>0</v>
      </c>
      <c r="AU39" s="26">
        <v>0</v>
      </c>
      <c r="AV39" s="67">
        <f t="shared" si="13"/>
        <v>35044</v>
      </c>
      <c r="AW39" s="278">
        <f t="shared" si="14"/>
        <v>125878</v>
      </c>
      <c r="AX39" s="67"/>
      <c r="AY39" s="67"/>
    </row>
    <row r="40" spans="1:51" ht="20.100000000000001" customHeight="1" x14ac:dyDescent="0.25">
      <c r="A40" s="21">
        <v>30</v>
      </c>
      <c r="B40" s="33" t="s">
        <v>205</v>
      </c>
      <c r="C40" s="532">
        <v>361190124</v>
      </c>
      <c r="D40" s="74" t="s">
        <v>137</v>
      </c>
      <c r="E40" s="313" t="s">
        <v>400</v>
      </c>
      <c r="F40" s="490" t="s">
        <v>390</v>
      </c>
      <c r="G40" s="76">
        <v>22</v>
      </c>
      <c r="H40" s="35">
        <v>0</v>
      </c>
      <c r="I40" s="35">
        <f t="shared" si="3"/>
        <v>0</v>
      </c>
      <c r="J40" s="77">
        <v>14000</v>
      </c>
      <c r="K40" s="48">
        <f t="shared" si="4"/>
        <v>14000</v>
      </c>
      <c r="L40" s="112"/>
      <c r="M40" s="486">
        <v>115000</v>
      </c>
      <c r="N40" s="48">
        <f t="shared" si="5"/>
        <v>115000</v>
      </c>
      <c r="O40" s="28">
        <f t="shared" si="6"/>
        <v>134520</v>
      </c>
      <c r="P40" s="48">
        <f t="shared" si="0"/>
        <v>0</v>
      </c>
      <c r="Q40" s="523">
        <f t="shared" si="18"/>
        <v>4.8000000000000001E-2</v>
      </c>
      <c r="R40" s="77">
        <v>8</v>
      </c>
      <c r="S40" s="82" t="s">
        <v>100</v>
      </c>
      <c r="T40" s="496">
        <f t="shared" si="17"/>
        <v>5520</v>
      </c>
      <c r="U40" s="31"/>
      <c r="V40" s="48">
        <f t="shared" si="7"/>
        <v>0</v>
      </c>
      <c r="W40" s="31"/>
      <c r="X40" s="48">
        <f t="shared" si="8"/>
        <v>0</v>
      </c>
      <c r="Y40" s="31"/>
      <c r="Z40" s="48">
        <f t="shared" si="9"/>
        <v>0</v>
      </c>
      <c r="AA40" s="31"/>
      <c r="AB40" s="48">
        <f t="shared" si="10"/>
        <v>0</v>
      </c>
      <c r="AC40" s="31">
        <v>0</v>
      </c>
      <c r="AD40" s="48">
        <f t="shared" si="11"/>
        <v>0</v>
      </c>
      <c r="AE40" s="48">
        <v>0</v>
      </c>
      <c r="AF40" s="48">
        <v>0</v>
      </c>
      <c r="AG40" s="48">
        <v>0</v>
      </c>
      <c r="AH40" s="48">
        <v>0</v>
      </c>
      <c r="AI40" s="48">
        <v>0</v>
      </c>
      <c r="AJ40" s="280">
        <v>0</v>
      </c>
      <c r="AK40" s="283">
        <f t="shared" si="12"/>
        <v>134520</v>
      </c>
      <c r="AL40" s="60">
        <v>0</v>
      </c>
      <c r="AM40" s="60">
        <v>0</v>
      </c>
      <c r="AN40" s="60">
        <f t="shared" si="15"/>
        <v>12779</v>
      </c>
      <c r="AO40" s="36">
        <f t="shared" si="1"/>
        <v>2287</v>
      </c>
      <c r="AP40" s="30">
        <v>0</v>
      </c>
      <c r="AQ40" s="36">
        <f t="shared" si="16"/>
        <v>0</v>
      </c>
      <c r="AR40" s="26">
        <f t="shared" si="2"/>
        <v>13588</v>
      </c>
      <c r="AS40" s="26">
        <v>0</v>
      </c>
      <c r="AT40" s="26">
        <v>0</v>
      </c>
      <c r="AU40" s="26">
        <v>0</v>
      </c>
      <c r="AV40" s="67">
        <f t="shared" si="13"/>
        <v>28654</v>
      </c>
      <c r="AW40" s="278">
        <f t="shared" si="14"/>
        <v>105866</v>
      </c>
      <c r="AX40" s="67"/>
      <c r="AY40" s="67"/>
    </row>
    <row r="41" spans="1:51" ht="20.100000000000001" customHeight="1" x14ac:dyDescent="0.25">
      <c r="A41" s="21">
        <v>31</v>
      </c>
      <c r="B41" s="33" t="s">
        <v>206</v>
      </c>
      <c r="C41" s="532">
        <v>530558872</v>
      </c>
      <c r="D41" s="74" t="s">
        <v>328</v>
      </c>
      <c r="E41" s="313" t="s">
        <v>400</v>
      </c>
      <c r="F41" s="311" t="s">
        <v>391</v>
      </c>
      <c r="G41" s="76">
        <v>22</v>
      </c>
      <c r="H41" s="35">
        <v>0</v>
      </c>
      <c r="I41" s="35">
        <f t="shared" si="3"/>
        <v>0</v>
      </c>
      <c r="J41" s="77">
        <v>14000</v>
      </c>
      <c r="K41" s="48">
        <f t="shared" si="4"/>
        <v>14000</v>
      </c>
      <c r="L41" s="112"/>
      <c r="M41" s="486">
        <v>105000</v>
      </c>
      <c r="N41" s="48">
        <f t="shared" si="5"/>
        <v>105000</v>
      </c>
      <c r="O41" s="28">
        <f t="shared" si="6"/>
        <v>124670</v>
      </c>
      <c r="P41" s="48">
        <f t="shared" si="0"/>
        <v>0</v>
      </c>
      <c r="Q41" s="523">
        <f t="shared" si="18"/>
        <v>5.3999999999999999E-2</v>
      </c>
      <c r="R41" s="77">
        <v>9</v>
      </c>
      <c r="S41" s="82" t="s">
        <v>104</v>
      </c>
      <c r="T41" s="496">
        <f t="shared" si="17"/>
        <v>5670</v>
      </c>
      <c r="U41" s="31"/>
      <c r="V41" s="48">
        <f t="shared" si="7"/>
        <v>0</v>
      </c>
      <c r="W41" s="31"/>
      <c r="X41" s="48">
        <f t="shared" si="8"/>
        <v>0</v>
      </c>
      <c r="Y41" s="31"/>
      <c r="Z41" s="48">
        <f t="shared" si="9"/>
        <v>0</v>
      </c>
      <c r="AA41" s="31"/>
      <c r="AB41" s="48">
        <f t="shared" si="10"/>
        <v>0</v>
      </c>
      <c r="AC41" s="31">
        <v>0</v>
      </c>
      <c r="AD41" s="48">
        <f t="shared" si="11"/>
        <v>0</v>
      </c>
      <c r="AE41" s="48">
        <v>0</v>
      </c>
      <c r="AF41" s="48">
        <v>0</v>
      </c>
      <c r="AG41" s="48">
        <v>0</v>
      </c>
      <c r="AH41" s="48">
        <v>0</v>
      </c>
      <c r="AI41" s="48">
        <v>0</v>
      </c>
      <c r="AJ41" s="280">
        <v>0</v>
      </c>
      <c r="AK41" s="283">
        <f>K41+N41+P41+T41+V41+X41+Z41+AB41+AD41+AE41+AF41+AG41+AH41+AI41+AJ41</f>
        <v>124670</v>
      </c>
      <c r="AL41" s="60">
        <v>0</v>
      </c>
      <c r="AM41" s="60">
        <v>0</v>
      </c>
      <c r="AN41" s="60">
        <f t="shared" si="15"/>
        <v>11844</v>
      </c>
      <c r="AO41" s="36">
        <f t="shared" si="1"/>
        <v>2119</v>
      </c>
      <c r="AP41" s="30">
        <v>0</v>
      </c>
      <c r="AQ41" s="36">
        <f t="shared" si="16"/>
        <v>0</v>
      </c>
      <c r="AR41" s="26">
        <f t="shared" si="2"/>
        <v>12307</v>
      </c>
      <c r="AS41" s="26">
        <v>0</v>
      </c>
      <c r="AT41" s="26">
        <v>0</v>
      </c>
      <c r="AU41" s="26">
        <v>0</v>
      </c>
      <c r="AV41" s="67">
        <f t="shared" si="13"/>
        <v>26270</v>
      </c>
      <c r="AW41" s="278">
        <f t="shared" si="14"/>
        <v>98400</v>
      </c>
      <c r="AX41" s="67"/>
      <c r="AY41" s="67"/>
    </row>
    <row r="42" spans="1:51" ht="20.100000000000001" customHeight="1" thickBot="1" x14ac:dyDescent="0.3">
      <c r="A42" s="21">
        <v>32</v>
      </c>
      <c r="B42" s="33" t="s">
        <v>207</v>
      </c>
      <c r="C42" s="532">
        <v>216596034</v>
      </c>
      <c r="D42" s="74" t="s">
        <v>329</v>
      </c>
      <c r="E42" s="313" t="s">
        <v>400</v>
      </c>
      <c r="F42" s="482" t="s">
        <v>392</v>
      </c>
      <c r="G42" s="76">
        <v>22</v>
      </c>
      <c r="H42" s="35">
        <v>0</v>
      </c>
      <c r="I42" s="35">
        <f t="shared" si="3"/>
        <v>0</v>
      </c>
      <c r="J42" s="77">
        <v>14000</v>
      </c>
      <c r="K42" s="48">
        <f t="shared" si="4"/>
        <v>14000</v>
      </c>
      <c r="L42" s="112"/>
      <c r="M42" s="486">
        <v>98000</v>
      </c>
      <c r="N42" s="48">
        <f t="shared" si="5"/>
        <v>98000</v>
      </c>
      <c r="O42" s="28">
        <f t="shared" si="6"/>
        <v>117880</v>
      </c>
      <c r="P42" s="48">
        <f t="shared" si="0"/>
        <v>0</v>
      </c>
      <c r="Q42" s="523">
        <f t="shared" si="18"/>
        <v>0.06</v>
      </c>
      <c r="R42" s="77">
        <v>10</v>
      </c>
      <c r="S42" s="82" t="s">
        <v>101</v>
      </c>
      <c r="T42" s="496">
        <f t="shared" si="17"/>
        <v>5880</v>
      </c>
      <c r="U42" s="31"/>
      <c r="V42" s="48">
        <f t="shared" si="7"/>
        <v>0</v>
      </c>
      <c r="W42" s="31"/>
      <c r="X42" s="48">
        <f t="shared" si="8"/>
        <v>0</v>
      </c>
      <c r="Y42" s="31"/>
      <c r="Z42" s="48">
        <f t="shared" si="9"/>
        <v>0</v>
      </c>
      <c r="AA42" s="31"/>
      <c r="AB42" s="48">
        <f t="shared" si="10"/>
        <v>0</v>
      </c>
      <c r="AC42" s="31">
        <v>0</v>
      </c>
      <c r="AD42" s="48">
        <f t="shared" si="11"/>
        <v>0</v>
      </c>
      <c r="AE42" s="48">
        <v>0</v>
      </c>
      <c r="AF42" s="48">
        <v>0</v>
      </c>
      <c r="AG42" s="48">
        <v>0</v>
      </c>
      <c r="AH42" s="48">
        <v>0</v>
      </c>
      <c r="AI42" s="48">
        <v>0</v>
      </c>
      <c r="AJ42" s="280">
        <v>0</v>
      </c>
      <c r="AK42" s="283">
        <f t="shared" si="12"/>
        <v>117880</v>
      </c>
      <c r="AL42" s="60">
        <v>0</v>
      </c>
      <c r="AM42" s="60">
        <v>0</v>
      </c>
      <c r="AN42" s="60">
        <f t="shared" si="15"/>
        <v>11199</v>
      </c>
      <c r="AO42" s="36">
        <f t="shared" si="1"/>
        <v>2004</v>
      </c>
      <c r="AP42" s="30">
        <v>0</v>
      </c>
      <c r="AQ42" s="36">
        <f t="shared" si="16"/>
        <v>0</v>
      </c>
      <c r="AR42" s="26">
        <f t="shared" si="2"/>
        <v>11424</v>
      </c>
      <c r="AS42" s="26">
        <v>0</v>
      </c>
      <c r="AT42" s="26">
        <v>0</v>
      </c>
      <c r="AU42" s="26">
        <v>0</v>
      </c>
      <c r="AV42" s="67">
        <f t="shared" si="13"/>
        <v>24627</v>
      </c>
      <c r="AW42" s="278">
        <f t="shared" si="14"/>
        <v>93253</v>
      </c>
      <c r="AX42" s="67"/>
      <c r="AY42" s="67"/>
    </row>
    <row r="43" spans="1:51" ht="20.100000000000001" customHeight="1" x14ac:dyDescent="0.25">
      <c r="A43" s="21">
        <v>33</v>
      </c>
      <c r="B43" s="33" t="s">
        <v>208</v>
      </c>
      <c r="C43" s="532">
        <v>158019403</v>
      </c>
      <c r="D43" s="74" t="s">
        <v>138</v>
      </c>
      <c r="E43" s="313" t="s">
        <v>401</v>
      </c>
      <c r="F43" s="310" t="s">
        <v>393</v>
      </c>
      <c r="G43" s="76">
        <v>22</v>
      </c>
      <c r="H43" s="35">
        <v>0</v>
      </c>
      <c r="I43" s="35">
        <f t="shared" si="3"/>
        <v>0</v>
      </c>
      <c r="J43" s="77">
        <v>14000</v>
      </c>
      <c r="K43" s="48">
        <f t="shared" si="4"/>
        <v>14000</v>
      </c>
      <c r="L43" s="112"/>
      <c r="M43" s="486">
        <v>90000</v>
      </c>
      <c r="N43" s="48">
        <f t="shared" si="5"/>
        <v>90000</v>
      </c>
      <c r="O43" s="28">
        <f t="shared" si="6"/>
        <v>110120</v>
      </c>
      <c r="P43" s="48">
        <f t="shared" si="0"/>
        <v>0</v>
      </c>
      <c r="Q43" s="523">
        <f t="shared" si="18"/>
        <v>6.8000000000000005E-2</v>
      </c>
      <c r="R43" s="77">
        <v>11</v>
      </c>
      <c r="S43" s="82" t="s">
        <v>102</v>
      </c>
      <c r="T43" s="496">
        <f t="shared" si="17"/>
        <v>6120</v>
      </c>
      <c r="U43" s="31"/>
      <c r="V43" s="48">
        <f t="shared" si="7"/>
        <v>0</v>
      </c>
      <c r="W43" s="31"/>
      <c r="X43" s="48">
        <f t="shared" si="8"/>
        <v>0</v>
      </c>
      <c r="Y43" s="31"/>
      <c r="Z43" s="48">
        <f t="shared" si="9"/>
        <v>0</v>
      </c>
      <c r="AA43" s="31"/>
      <c r="AB43" s="48">
        <f t="shared" si="10"/>
        <v>0</v>
      </c>
      <c r="AC43" s="31">
        <v>0</v>
      </c>
      <c r="AD43" s="48">
        <f t="shared" si="11"/>
        <v>0</v>
      </c>
      <c r="AE43" s="48">
        <v>0</v>
      </c>
      <c r="AF43" s="48">
        <v>0</v>
      </c>
      <c r="AG43" s="48">
        <v>0</v>
      </c>
      <c r="AH43" s="48">
        <v>0</v>
      </c>
      <c r="AI43" s="48">
        <v>0</v>
      </c>
      <c r="AJ43" s="280">
        <v>0</v>
      </c>
      <c r="AK43" s="283">
        <f t="shared" si="12"/>
        <v>110120</v>
      </c>
      <c r="AL43" s="60">
        <v>0</v>
      </c>
      <c r="AM43" s="60">
        <v>0</v>
      </c>
      <c r="AN43" s="60">
        <f t="shared" si="15"/>
        <v>10461</v>
      </c>
      <c r="AO43" s="36">
        <f t="shared" si="1"/>
        <v>1872</v>
      </c>
      <c r="AP43" s="30">
        <v>0</v>
      </c>
      <c r="AQ43" s="36">
        <f t="shared" si="16"/>
        <v>0</v>
      </c>
      <c r="AR43" s="26">
        <f t="shared" si="2"/>
        <v>10416</v>
      </c>
      <c r="AS43" s="26">
        <v>0</v>
      </c>
      <c r="AT43" s="26">
        <v>0</v>
      </c>
      <c r="AU43" s="26">
        <v>0</v>
      </c>
      <c r="AV43" s="67">
        <f t="shared" si="13"/>
        <v>22749</v>
      </c>
      <c r="AW43" s="278">
        <f t="shared" si="14"/>
        <v>87371</v>
      </c>
      <c r="AX43" s="67"/>
      <c r="AY43" s="67"/>
    </row>
    <row r="44" spans="1:51" ht="20.100000000000001" customHeight="1" x14ac:dyDescent="0.25">
      <c r="A44" s="21">
        <v>34</v>
      </c>
      <c r="B44" s="33" t="s">
        <v>209</v>
      </c>
      <c r="C44" s="532">
        <v>562934589</v>
      </c>
      <c r="D44" s="74" t="s">
        <v>135</v>
      </c>
      <c r="E44" s="313" t="s">
        <v>401</v>
      </c>
      <c r="F44" s="311" t="s">
        <v>394</v>
      </c>
      <c r="G44" s="76">
        <v>22</v>
      </c>
      <c r="H44" s="35">
        <v>0</v>
      </c>
      <c r="I44" s="35">
        <f t="shared" si="3"/>
        <v>0</v>
      </c>
      <c r="J44" s="77">
        <v>14000</v>
      </c>
      <c r="K44" s="48">
        <f t="shared" si="4"/>
        <v>14000</v>
      </c>
      <c r="L44" s="112"/>
      <c r="M44" s="486">
        <v>80000</v>
      </c>
      <c r="N44" s="48">
        <f t="shared" si="5"/>
        <v>80000</v>
      </c>
      <c r="O44" s="28">
        <f t="shared" si="6"/>
        <v>100080</v>
      </c>
      <c r="P44" s="48">
        <f t="shared" si="0"/>
        <v>0</v>
      </c>
      <c r="Q44" s="523">
        <f t="shared" si="18"/>
        <v>7.5999999999999998E-2</v>
      </c>
      <c r="R44" s="77">
        <v>12</v>
      </c>
      <c r="S44" s="82" t="s">
        <v>103</v>
      </c>
      <c r="T44" s="496">
        <f t="shared" si="17"/>
        <v>6080</v>
      </c>
      <c r="U44" s="31"/>
      <c r="V44" s="48">
        <f t="shared" si="7"/>
        <v>0</v>
      </c>
      <c r="W44" s="31"/>
      <c r="X44" s="48">
        <f t="shared" si="8"/>
        <v>0</v>
      </c>
      <c r="Y44" s="31"/>
      <c r="Z44" s="48">
        <f t="shared" si="9"/>
        <v>0</v>
      </c>
      <c r="AA44" s="31"/>
      <c r="AB44" s="48">
        <f t="shared" si="10"/>
        <v>0</v>
      </c>
      <c r="AC44" s="31">
        <v>0</v>
      </c>
      <c r="AD44" s="48">
        <f t="shared" si="11"/>
        <v>0</v>
      </c>
      <c r="AE44" s="48">
        <v>0</v>
      </c>
      <c r="AF44" s="48">
        <v>0</v>
      </c>
      <c r="AG44" s="48">
        <v>0</v>
      </c>
      <c r="AH44" s="48">
        <v>0</v>
      </c>
      <c r="AI44" s="48">
        <v>0</v>
      </c>
      <c r="AJ44" s="280">
        <v>0</v>
      </c>
      <c r="AK44" s="283">
        <f t="shared" si="12"/>
        <v>100080</v>
      </c>
      <c r="AL44" s="60">
        <v>0</v>
      </c>
      <c r="AM44" s="60">
        <v>0</v>
      </c>
      <c r="AN44" s="60">
        <f t="shared" si="15"/>
        <v>9508</v>
      </c>
      <c r="AO44" s="36">
        <f t="shared" si="1"/>
        <v>1701</v>
      </c>
      <c r="AP44" s="30">
        <v>0</v>
      </c>
      <c r="AQ44" s="36">
        <f t="shared" si="16"/>
        <v>0</v>
      </c>
      <c r="AR44" s="26">
        <f t="shared" si="2"/>
        <v>9110</v>
      </c>
      <c r="AS44" s="26">
        <v>0</v>
      </c>
      <c r="AT44" s="26">
        <v>0</v>
      </c>
      <c r="AU44" s="26">
        <v>0</v>
      </c>
      <c r="AV44" s="67">
        <f t="shared" si="13"/>
        <v>20319</v>
      </c>
      <c r="AW44" s="278">
        <f t="shared" si="14"/>
        <v>79761</v>
      </c>
      <c r="AX44" s="67"/>
      <c r="AY44" s="67"/>
    </row>
    <row r="45" spans="1:51" ht="20.100000000000001" customHeight="1" x14ac:dyDescent="0.25">
      <c r="A45" s="21">
        <v>35</v>
      </c>
      <c r="B45" s="33" t="s">
        <v>210</v>
      </c>
      <c r="C45" s="532">
        <v>944386177</v>
      </c>
      <c r="D45" s="74" t="s">
        <v>136</v>
      </c>
      <c r="E45" s="313" t="s">
        <v>401</v>
      </c>
      <c r="F45" s="311" t="s">
        <v>395</v>
      </c>
      <c r="G45" s="76">
        <v>22</v>
      </c>
      <c r="H45" s="35">
        <v>0</v>
      </c>
      <c r="I45" s="35">
        <f t="shared" si="3"/>
        <v>0</v>
      </c>
      <c r="J45" s="77">
        <v>14000</v>
      </c>
      <c r="K45" s="48">
        <f t="shared" si="4"/>
        <v>14000</v>
      </c>
      <c r="L45" s="112"/>
      <c r="M45" s="486">
        <v>70000</v>
      </c>
      <c r="N45" s="48">
        <f t="shared" si="5"/>
        <v>70000</v>
      </c>
      <c r="O45" s="28">
        <f t="shared" si="6"/>
        <v>89880</v>
      </c>
      <c r="P45" s="48">
        <f t="shared" si="0"/>
        <v>0</v>
      </c>
      <c r="Q45" s="523">
        <f t="shared" si="18"/>
        <v>8.3999999999999991E-2</v>
      </c>
      <c r="R45" s="77">
        <v>13</v>
      </c>
      <c r="S45" s="82" t="s">
        <v>118</v>
      </c>
      <c r="T45" s="496">
        <f t="shared" si="17"/>
        <v>5880</v>
      </c>
      <c r="U45" s="31"/>
      <c r="V45" s="48">
        <f t="shared" si="7"/>
        <v>0</v>
      </c>
      <c r="W45" s="31"/>
      <c r="X45" s="48">
        <f t="shared" si="8"/>
        <v>0</v>
      </c>
      <c r="Y45" s="31"/>
      <c r="Z45" s="48">
        <f t="shared" si="9"/>
        <v>0</v>
      </c>
      <c r="AA45" s="31"/>
      <c r="AB45" s="48">
        <f t="shared" si="10"/>
        <v>0</v>
      </c>
      <c r="AC45" s="31">
        <v>0</v>
      </c>
      <c r="AD45" s="48">
        <f t="shared" si="11"/>
        <v>0</v>
      </c>
      <c r="AE45" s="48">
        <v>0</v>
      </c>
      <c r="AF45" s="48">
        <v>0</v>
      </c>
      <c r="AG45" s="48">
        <v>0</v>
      </c>
      <c r="AH45" s="48">
        <v>0</v>
      </c>
      <c r="AI45" s="48">
        <v>0</v>
      </c>
      <c r="AJ45" s="280">
        <v>0</v>
      </c>
      <c r="AK45" s="283">
        <f t="shared" si="12"/>
        <v>89880</v>
      </c>
      <c r="AL45" s="60">
        <v>0</v>
      </c>
      <c r="AM45" s="60">
        <v>0</v>
      </c>
      <c r="AN45" s="60">
        <f t="shared" si="15"/>
        <v>8539</v>
      </c>
      <c r="AO45" s="36">
        <f t="shared" si="1"/>
        <v>1528</v>
      </c>
      <c r="AP45" s="30">
        <v>0</v>
      </c>
      <c r="AQ45" s="36">
        <f t="shared" si="16"/>
        <v>0</v>
      </c>
      <c r="AR45" s="26">
        <f t="shared" si="2"/>
        <v>7784</v>
      </c>
      <c r="AS45" s="26">
        <v>0</v>
      </c>
      <c r="AT45" s="26">
        <v>0</v>
      </c>
      <c r="AU45" s="26">
        <v>0</v>
      </c>
      <c r="AV45" s="67">
        <f t="shared" si="13"/>
        <v>17851</v>
      </c>
      <c r="AW45" s="278">
        <f t="shared" si="14"/>
        <v>72029</v>
      </c>
      <c r="AX45" s="67"/>
      <c r="AY45" s="67"/>
    </row>
    <row r="46" spans="1:51" ht="20.100000000000001" customHeight="1" x14ac:dyDescent="0.25">
      <c r="A46" s="21">
        <v>36</v>
      </c>
      <c r="B46" s="33" t="s">
        <v>211</v>
      </c>
      <c r="C46" s="532">
        <v>278103787</v>
      </c>
      <c r="D46" s="74" t="s">
        <v>141</v>
      </c>
      <c r="E46" s="313" t="s">
        <v>401</v>
      </c>
      <c r="F46" s="311" t="s">
        <v>396</v>
      </c>
      <c r="G46" s="76">
        <v>22</v>
      </c>
      <c r="H46" s="35">
        <v>0</v>
      </c>
      <c r="I46" s="35">
        <f t="shared" si="3"/>
        <v>0</v>
      </c>
      <c r="J46" s="77">
        <v>14000</v>
      </c>
      <c r="K46" s="48">
        <f t="shared" si="4"/>
        <v>14000</v>
      </c>
      <c r="L46" s="112"/>
      <c r="M46" s="486">
        <v>60000</v>
      </c>
      <c r="N46" s="48">
        <f t="shared" si="5"/>
        <v>60000</v>
      </c>
      <c r="O46" s="28">
        <f t="shared" si="6"/>
        <v>79520</v>
      </c>
      <c r="P46" s="48">
        <f t="shared" si="0"/>
        <v>0</v>
      </c>
      <c r="Q46" s="523">
        <f t="shared" si="18"/>
        <v>9.1999999999999998E-2</v>
      </c>
      <c r="R46" s="77">
        <v>14</v>
      </c>
      <c r="S46" s="82" t="s">
        <v>119</v>
      </c>
      <c r="T46" s="496">
        <f t="shared" si="17"/>
        <v>5520</v>
      </c>
      <c r="U46" s="31"/>
      <c r="V46" s="48">
        <f t="shared" si="7"/>
        <v>0</v>
      </c>
      <c r="W46" s="31"/>
      <c r="X46" s="48">
        <f t="shared" si="8"/>
        <v>0</v>
      </c>
      <c r="Y46" s="31"/>
      <c r="Z46" s="48">
        <f t="shared" si="9"/>
        <v>0</v>
      </c>
      <c r="AA46" s="31"/>
      <c r="AB46" s="48">
        <f t="shared" si="10"/>
        <v>0</v>
      </c>
      <c r="AC46" s="31">
        <v>0</v>
      </c>
      <c r="AD46" s="48">
        <f t="shared" si="11"/>
        <v>0</v>
      </c>
      <c r="AE46" s="48">
        <v>0</v>
      </c>
      <c r="AF46" s="48">
        <v>0</v>
      </c>
      <c r="AG46" s="48">
        <v>0</v>
      </c>
      <c r="AH46" s="48">
        <v>0</v>
      </c>
      <c r="AI46" s="48">
        <v>0</v>
      </c>
      <c r="AJ46" s="280">
        <v>0</v>
      </c>
      <c r="AK46" s="283">
        <f t="shared" si="12"/>
        <v>79520</v>
      </c>
      <c r="AL46" s="60">
        <v>0</v>
      </c>
      <c r="AM46" s="60">
        <v>0</v>
      </c>
      <c r="AN46" s="60">
        <f t="shared" si="15"/>
        <v>7554</v>
      </c>
      <c r="AO46" s="36">
        <f t="shared" si="1"/>
        <v>1352</v>
      </c>
      <c r="AP46" s="30">
        <v>0</v>
      </c>
      <c r="AQ46" s="36">
        <f t="shared" si="16"/>
        <v>0</v>
      </c>
      <c r="AR46" s="26">
        <f t="shared" si="2"/>
        <v>6438</v>
      </c>
      <c r="AS46" s="26">
        <v>0</v>
      </c>
      <c r="AT46" s="26">
        <v>0</v>
      </c>
      <c r="AU46" s="26">
        <v>0</v>
      </c>
      <c r="AV46" s="67">
        <f t="shared" si="13"/>
        <v>15344</v>
      </c>
      <c r="AW46" s="278">
        <f t="shared" si="14"/>
        <v>64176</v>
      </c>
      <c r="AX46" s="67"/>
      <c r="AY46" s="67"/>
    </row>
    <row r="47" spans="1:51" ht="32.1" customHeight="1" thickBot="1" x14ac:dyDescent="0.35">
      <c r="A47" s="501"/>
      <c r="B47" s="502"/>
      <c r="C47" s="533"/>
      <c r="D47" s="533"/>
      <c r="E47" s="504" t="s">
        <v>464</v>
      </c>
      <c r="F47" s="505"/>
      <c r="G47" s="506"/>
      <c r="H47" s="507"/>
      <c r="I47" s="507"/>
      <c r="J47" s="508"/>
      <c r="K47" s="509"/>
      <c r="L47" s="508"/>
      <c r="M47" s="508"/>
      <c r="N47" s="510"/>
      <c r="O47" s="503"/>
      <c r="P47" s="510"/>
      <c r="Q47" s="519" t="s">
        <v>470</v>
      </c>
      <c r="R47" s="508"/>
      <c r="S47" s="508"/>
      <c r="T47" s="519" t="s">
        <v>468</v>
      </c>
      <c r="U47" s="507"/>
      <c r="V47" s="510"/>
      <c r="W47" s="507"/>
      <c r="X47" s="510"/>
      <c r="Y47" s="507"/>
      <c r="Z47" s="510"/>
      <c r="AA47" s="507"/>
      <c r="AB47" s="510"/>
      <c r="AC47" s="507"/>
      <c r="AD47" s="511"/>
      <c r="AE47" s="511"/>
      <c r="AF47" s="511"/>
      <c r="AG47" s="511"/>
      <c r="AH47" s="511"/>
      <c r="AI47" s="510"/>
      <c r="AJ47" s="512"/>
      <c r="AK47" s="513"/>
      <c r="AL47" s="514"/>
      <c r="AM47" s="514"/>
      <c r="AN47" s="514"/>
      <c r="AO47" s="510"/>
      <c r="AP47" s="515"/>
      <c r="AQ47" s="510"/>
      <c r="AR47" s="510"/>
      <c r="AS47" s="516"/>
      <c r="AT47" s="516"/>
      <c r="AU47" s="516"/>
      <c r="AV47" s="517"/>
      <c r="AW47" s="518"/>
      <c r="AX47" s="517"/>
      <c r="AY47" s="517"/>
    </row>
    <row r="48" spans="1:51" ht="20.100000000000001" customHeight="1" x14ac:dyDescent="0.25">
      <c r="A48" s="32">
        <v>37</v>
      </c>
      <c r="B48" s="33" t="s">
        <v>212</v>
      </c>
      <c r="C48" s="532">
        <v>877191970</v>
      </c>
      <c r="D48" s="74" t="s">
        <v>139</v>
      </c>
      <c r="E48" s="312" t="s">
        <v>402</v>
      </c>
      <c r="F48" s="489" t="s">
        <v>383</v>
      </c>
      <c r="G48" s="75">
        <v>22</v>
      </c>
      <c r="H48" s="35">
        <v>0</v>
      </c>
      <c r="I48" s="35">
        <f t="shared" si="3"/>
        <v>0</v>
      </c>
      <c r="J48" s="77">
        <v>14000</v>
      </c>
      <c r="K48" s="48">
        <f t="shared" si="4"/>
        <v>14000</v>
      </c>
      <c r="L48" s="111"/>
      <c r="M48" s="485">
        <v>235000</v>
      </c>
      <c r="N48" s="48">
        <f t="shared" si="5"/>
        <v>235000</v>
      </c>
      <c r="O48" s="28">
        <f t="shared" si="6"/>
        <v>250410</v>
      </c>
      <c r="P48" s="48">
        <f t="shared" si="0"/>
        <v>0</v>
      </c>
      <c r="Q48" s="523">
        <f t="shared" ref="Q48:Q77" si="19">IF(R48&lt;=10,R48*0.6%,IF(R48&lt;=20,6%+(R48-10)*0.8%,IF(R48&lt;=30,14%+(R48-20)*1%,24%)))</f>
        <v>6.0000000000000001E-3</v>
      </c>
      <c r="R48" s="77">
        <v>1</v>
      </c>
      <c r="S48" s="82" t="s">
        <v>95</v>
      </c>
      <c r="T48" s="496">
        <f>ROUND(N48*(Q48),0)</f>
        <v>1410</v>
      </c>
      <c r="U48" s="35"/>
      <c r="V48" s="48">
        <f t="shared" si="7"/>
        <v>0</v>
      </c>
      <c r="W48" s="35"/>
      <c r="X48" s="48">
        <f t="shared" si="8"/>
        <v>0</v>
      </c>
      <c r="Y48" s="35"/>
      <c r="Z48" s="48">
        <f t="shared" si="9"/>
        <v>0</v>
      </c>
      <c r="AA48" s="35"/>
      <c r="AB48" s="48">
        <f t="shared" si="10"/>
        <v>0</v>
      </c>
      <c r="AC48" s="35">
        <v>0</v>
      </c>
      <c r="AD48" s="48">
        <f t="shared" si="11"/>
        <v>0</v>
      </c>
      <c r="AE48" s="48">
        <v>0</v>
      </c>
      <c r="AF48" s="48">
        <v>0</v>
      </c>
      <c r="AG48" s="48">
        <v>0</v>
      </c>
      <c r="AH48" s="48">
        <v>0</v>
      </c>
      <c r="AI48" s="48">
        <v>0</v>
      </c>
      <c r="AJ48" s="280">
        <v>0</v>
      </c>
      <c r="AK48" s="283">
        <f t="shared" si="12"/>
        <v>250410</v>
      </c>
      <c r="AL48" s="60">
        <v>0</v>
      </c>
      <c r="AM48" s="60">
        <v>0</v>
      </c>
      <c r="AN48" s="60">
        <f t="shared" si="15"/>
        <v>16760</v>
      </c>
      <c r="AO48" s="36">
        <f t="shared" si="1"/>
        <v>4257</v>
      </c>
      <c r="AP48" s="29">
        <v>0</v>
      </c>
      <c r="AQ48" s="36">
        <f t="shared" si="16"/>
        <v>0</v>
      </c>
      <c r="AR48" s="36">
        <f t="shared" si="2"/>
        <v>33044</v>
      </c>
      <c r="AS48" s="36">
        <v>0</v>
      </c>
      <c r="AT48" s="36">
        <v>0</v>
      </c>
      <c r="AU48" s="36">
        <v>0</v>
      </c>
      <c r="AV48" s="66">
        <f t="shared" si="13"/>
        <v>54061</v>
      </c>
      <c r="AW48" s="277">
        <f t="shared" si="14"/>
        <v>196349</v>
      </c>
      <c r="AX48" s="66"/>
      <c r="AY48" s="66"/>
    </row>
    <row r="49" spans="1:51" ht="20.100000000000001" customHeight="1" x14ac:dyDescent="0.25">
      <c r="A49" s="21">
        <v>38</v>
      </c>
      <c r="B49" s="33" t="s">
        <v>213</v>
      </c>
      <c r="C49" s="532">
        <v>844673531</v>
      </c>
      <c r="D49" s="74" t="s">
        <v>140</v>
      </c>
      <c r="E49" s="313" t="s">
        <v>403</v>
      </c>
      <c r="F49" s="311" t="s">
        <v>383</v>
      </c>
      <c r="G49" s="76">
        <v>22</v>
      </c>
      <c r="H49" s="35">
        <v>0</v>
      </c>
      <c r="I49" s="35">
        <f t="shared" si="3"/>
        <v>0</v>
      </c>
      <c r="J49" s="77">
        <v>14000</v>
      </c>
      <c r="K49" s="48">
        <f t="shared" si="4"/>
        <v>14000</v>
      </c>
      <c r="L49" s="112"/>
      <c r="M49" s="486">
        <v>235000</v>
      </c>
      <c r="N49" s="48">
        <f t="shared" si="5"/>
        <v>235000</v>
      </c>
      <c r="O49" s="28">
        <f t="shared" si="6"/>
        <v>251820</v>
      </c>
      <c r="P49" s="48">
        <f t="shared" si="0"/>
        <v>0</v>
      </c>
      <c r="Q49" s="523">
        <f t="shared" si="19"/>
        <v>1.2E-2</v>
      </c>
      <c r="R49" s="77">
        <v>2</v>
      </c>
      <c r="S49" s="82" t="s">
        <v>96</v>
      </c>
      <c r="T49" s="496">
        <f t="shared" si="17"/>
        <v>2820</v>
      </c>
      <c r="U49" s="31"/>
      <c r="V49" s="48">
        <f t="shared" si="7"/>
        <v>0</v>
      </c>
      <c r="W49" s="31"/>
      <c r="X49" s="48">
        <f t="shared" si="8"/>
        <v>0</v>
      </c>
      <c r="Y49" s="31"/>
      <c r="Z49" s="48">
        <f t="shared" si="9"/>
        <v>0</v>
      </c>
      <c r="AA49" s="31"/>
      <c r="AB49" s="48">
        <f t="shared" si="10"/>
        <v>0</v>
      </c>
      <c r="AC49" s="31">
        <v>0</v>
      </c>
      <c r="AD49" s="48">
        <f t="shared" si="11"/>
        <v>0</v>
      </c>
      <c r="AE49" s="48">
        <v>0</v>
      </c>
      <c r="AF49" s="48">
        <v>0</v>
      </c>
      <c r="AG49" s="48">
        <v>0</v>
      </c>
      <c r="AH49" s="48">
        <v>0</v>
      </c>
      <c r="AI49" s="48">
        <v>0</v>
      </c>
      <c r="AJ49" s="280">
        <v>0</v>
      </c>
      <c r="AK49" s="283">
        <f t="shared" si="12"/>
        <v>251820</v>
      </c>
      <c r="AL49" s="60">
        <v>0</v>
      </c>
      <c r="AM49" s="60">
        <v>0</v>
      </c>
      <c r="AN49" s="60">
        <f t="shared" si="15"/>
        <v>16760</v>
      </c>
      <c r="AO49" s="36">
        <f t="shared" si="1"/>
        <v>4281</v>
      </c>
      <c r="AP49" s="30">
        <v>0</v>
      </c>
      <c r="AQ49" s="36">
        <f t="shared" si="16"/>
        <v>0</v>
      </c>
      <c r="AR49" s="26">
        <f t="shared" si="2"/>
        <v>33369</v>
      </c>
      <c r="AS49" s="26">
        <v>0</v>
      </c>
      <c r="AT49" s="26">
        <v>0</v>
      </c>
      <c r="AU49" s="26">
        <v>0</v>
      </c>
      <c r="AV49" s="67">
        <f t="shared" si="13"/>
        <v>54410</v>
      </c>
      <c r="AW49" s="278">
        <f t="shared" si="14"/>
        <v>197410</v>
      </c>
      <c r="AX49" s="67"/>
      <c r="AY49" s="67"/>
    </row>
    <row r="50" spans="1:51" ht="20.100000000000001" customHeight="1" x14ac:dyDescent="0.25">
      <c r="A50" s="21">
        <v>39</v>
      </c>
      <c r="B50" s="33" t="s">
        <v>214</v>
      </c>
      <c r="C50" s="532">
        <v>161847394</v>
      </c>
      <c r="D50" s="74" t="s">
        <v>327</v>
      </c>
      <c r="E50" s="313" t="s">
        <v>404</v>
      </c>
      <c r="F50" s="311" t="s">
        <v>383</v>
      </c>
      <c r="G50" s="76">
        <v>22</v>
      </c>
      <c r="H50" s="35">
        <v>0</v>
      </c>
      <c r="I50" s="35">
        <f t="shared" si="3"/>
        <v>0</v>
      </c>
      <c r="J50" s="77">
        <v>14000</v>
      </c>
      <c r="K50" s="48">
        <f t="shared" si="4"/>
        <v>14000</v>
      </c>
      <c r="L50" s="112"/>
      <c r="M50" s="486">
        <v>235000</v>
      </c>
      <c r="N50" s="48">
        <f t="shared" si="5"/>
        <v>235000</v>
      </c>
      <c r="O50" s="28">
        <f t="shared" si="6"/>
        <v>253230</v>
      </c>
      <c r="P50" s="48">
        <f t="shared" si="0"/>
        <v>0</v>
      </c>
      <c r="Q50" s="523">
        <f t="shared" si="19"/>
        <v>1.8000000000000002E-2</v>
      </c>
      <c r="R50" s="77">
        <v>3</v>
      </c>
      <c r="S50" s="82" t="s">
        <v>97</v>
      </c>
      <c r="T50" s="496">
        <f t="shared" si="17"/>
        <v>4230</v>
      </c>
      <c r="U50" s="31"/>
      <c r="V50" s="48">
        <f t="shared" si="7"/>
        <v>0</v>
      </c>
      <c r="W50" s="31"/>
      <c r="X50" s="48">
        <f t="shared" si="8"/>
        <v>0</v>
      </c>
      <c r="Y50" s="31"/>
      <c r="Z50" s="48">
        <f t="shared" si="9"/>
        <v>0</v>
      </c>
      <c r="AA50" s="31"/>
      <c r="AB50" s="48">
        <f t="shared" si="10"/>
        <v>0</v>
      </c>
      <c r="AC50" s="31">
        <v>0</v>
      </c>
      <c r="AD50" s="48">
        <f t="shared" si="11"/>
        <v>0</v>
      </c>
      <c r="AE50" s="48">
        <v>0</v>
      </c>
      <c r="AF50" s="48">
        <v>0</v>
      </c>
      <c r="AG50" s="48">
        <v>0</v>
      </c>
      <c r="AH50" s="48">
        <v>0</v>
      </c>
      <c r="AI50" s="48">
        <v>0</v>
      </c>
      <c r="AJ50" s="280">
        <v>0</v>
      </c>
      <c r="AK50" s="283">
        <f t="shared" si="12"/>
        <v>253230</v>
      </c>
      <c r="AL50" s="60">
        <v>0</v>
      </c>
      <c r="AM50" s="60">
        <v>0</v>
      </c>
      <c r="AN50" s="60">
        <f t="shared" si="15"/>
        <v>16760</v>
      </c>
      <c r="AO50" s="36">
        <f t="shared" si="1"/>
        <v>4305</v>
      </c>
      <c r="AP50" s="30">
        <v>0</v>
      </c>
      <c r="AQ50" s="36">
        <f t="shared" si="16"/>
        <v>0</v>
      </c>
      <c r="AR50" s="26">
        <f t="shared" si="2"/>
        <v>33693</v>
      </c>
      <c r="AS50" s="26">
        <v>0</v>
      </c>
      <c r="AT50" s="26">
        <v>0</v>
      </c>
      <c r="AU50" s="26">
        <v>0</v>
      </c>
      <c r="AV50" s="67">
        <f t="shared" si="13"/>
        <v>54758</v>
      </c>
      <c r="AW50" s="278">
        <f t="shared" si="14"/>
        <v>198472</v>
      </c>
      <c r="AX50" s="67"/>
      <c r="AY50" s="67"/>
    </row>
    <row r="51" spans="1:51" ht="20.100000000000001" customHeight="1" x14ac:dyDescent="0.25">
      <c r="A51" s="21">
        <v>40</v>
      </c>
      <c r="B51" s="33" t="s">
        <v>215</v>
      </c>
      <c r="C51" s="532">
        <v>353369491</v>
      </c>
      <c r="D51" s="74" t="s">
        <v>330</v>
      </c>
      <c r="E51" s="313" t="s">
        <v>405</v>
      </c>
      <c r="F51" s="311" t="s">
        <v>383</v>
      </c>
      <c r="G51" s="76">
        <v>22</v>
      </c>
      <c r="H51" s="35">
        <v>0</v>
      </c>
      <c r="I51" s="35">
        <f t="shared" si="3"/>
        <v>0</v>
      </c>
      <c r="J51" s="77">
        <v>14000</v>
      </c>
      <c r="K51" s="48">
        <f t="shared" si="4"/>
        <v>14000</v>
      </c>
      <c r="L51" s="112"/>
      <c r="M51" s="486">
        <v>235000</v>
      </c>
      <c r="N51" s="48">
        <f t="shared" si="5"/>
        <v>235000</v>
      </c>
      <c r="O51" s="28">
        <f t="shared" si="6"/>
        <v>254640</v>
      </c>
      <c r="P51" s="48">
        <f t="shared" si="0"/>
        <v>0</v>
      </c>
      <c r="Q51" s="523">
        <f t="shared" si="19"/>
        <v>2.4E-2</v>
      </c>
      <c r="R51" s="77">
        <v>4</v>
      </c>
      <c r="S51" s="82" t="s">
        <v>98</v>
      </c>
      <c r="T51" s="496">
        <f t="shared" si="17"/>
        <v>5640</v>
      </c>
      <c r="U51" s="31"/>
      <c r="V51" s="48">
        <f t="shared" si="7"/>
        <v>0</v>
      </c>
      <c r="W51" s="31"/>
      <c r="X51" s="48">
        <f t="shared" si="8"/>
        <v>0</v>
      </c>
      <c r="Y51" s="31"/>
      <c r="Z51" s="48">
        <f t="shared" si="9"/>
        <v>0</v>
      </c>
      <c r="AA51" s="31"/>
      <c r="AB51" s="48">
        <f t="shared" si="10"/>
        <v>0</v>
      </c>
      <c r="AC51" s="31">
        <v>0</v>
      </c>
      <c r="AD51" s="48">
        <f t="shared" si="11"/>
        <v>0</v>
      </c>
      <c r="AE51" s="48">
        <v>0</v>
      </c>
      <c r="AF51" s="48">
        <v>0</v>
      </c>
      <c r="AG51" s="48">
        <v>0</v>
      </c>
      <c r="AH51" s="48">
        <v>0</v>
      </c>
      <c r="AI51" s="48">
        <v>0</v>
      </c>
      <c r="AJ51" s="280">
        <v>0</v>
      </c>
      <c r="AK51" s="283">
        <f t="shared" si="12"/>
        <v>254640</v>
      </c>
      <c r="AL51" s="60">
        <v>0</v>
      </c>
      <c r="AM51" s="60">
        <v>0</v>
      </c>
      <c r="AN51" s="60">
        <f t="shared" si="15"/>
        <v>16760</v>
      </c>
      <c r="AO51" s="36">
        <f t="shared" si="1"/>
        <v>4329</v>
      </c>
      <c r="AP51" s="30">
        <v>0</v>
      </c>
      <c r="AQ51" s="36">
        <f t="shared" si="16"/>
        <v>0</v>
      </c>
      <c r="AR51" s="26">
        <f t="shared" si="2"/>
        <v>34017</v>
      </c>
      <c r="AS51" s="26">
        <v>0</v>
      </c>
      <c r="AT51" s="26">
        <v>0</v>
      </c>
      <c r="AU51" s="26">
        <v>0</v>
      </c>
      <c r="AV51" s="67">
        <f t="shared" si="13"/>
        <v>55106</v>
      </c>
      <c r="AW51" s="278">
        <f t="shared" si="14"/>
        <v>199534</v>
      </c>
      <c r="AX51" s="67"/>
      <c r="AY51" s="67"/>
    </row>
    <row r="52" spans="1:51" ht="20.100000000000001" customHeight="1" thickBot="1" x14ac:dyDescent="0.3">
      <c r="A52" s="21">
        <v>41</v>
      </c>
      <c r="B52" s="33" t="s">
        <v>216</v>
      </c>
      <c r="C52" s="532">
        <v>163970971</v>
      </c>
      <c r="D52" s="74" t="s">
        <v>138</v>
      </c>
      <c r="E52" s="313" t="s">
        <v>406</v>
      </c>
      <c r="F52" s="482" t="s">
        <v>383</v>
      </c>
      <c r="G52" s="76">
        <v>22</v>
      </c>
      <c r="H52" s="35">
        <v>0</v>
      </c>
      <c r="I52" s="35">
        <f t="shared" si="3"/>
        <v>0</v>
      </c>
      <c r="J52" s="77">
        <v>14000</v>
      </c>
      <c r="K52" s="48">
        <f t="shared" si="4"/>
        <v>14000</v>
      </c>
      <c r="L52" s="112"/>
      <c r="M52" s="486">
        <v>235000</v>
      </c>
      <c r="N52" s="48">
        <f t="shared" si="5"/>
        <v>235000</v>
      </c>
      <c r="O52" s="28">
        <f t="shared" si="6"/>
        <v>256050</v>
      </c>
      <c r="P52" s="48">
        <f t="shared" si="0"/>
        <v>0</v>
      </c>
      <c r="Q52" s="523">
        <f t="shared" si="19"/>
        <v>0.03</v>
      </c>
      <c r="R52" s="77">
        <v>5</v>
      </c>
      <c r="S52" s="82" t="s">
        <v>99</v>
      </c>
      <c r="T52" s="496">
        <f t="shared" si="17"/>
        <v>7050</v>
      </c>
      <c r="U52" s="31"/>
      <c r="V52" s="48">
        <f t="shared" si="7"/>
        <v>0</v>
      </c>
      <c r="W52" s="31"/>
      <c r="X52" s="48">
        <f t="shared" si="8"/>
        <v>0</v>
      </c>
      <c r="Y52" s="31"/>
      <c r="Z52" s="48">
        <f t="shared" si="9"/>
        <v>0</v>
      </c>
      <c r="AA52" s="31"/>
      <c r="AB52" s="48">
        <f t="shared" si="10"/>
        <v>0</v>
      </c>
      <c r="AC52" s="31">
        <v>0</v>
      </c>
      <c r="AD52" s="48">
        <f t="shared" si="11"/>
        <v>0</v>
      </c>
      <c r="AE52" s="48">
        <v>0</v>
      </c>
      <c r="AF52" s="48">
        <v>0</v>
      </c>
      <c r="AG52" s="48">
        <v>0</v>
      </c>
      <c r="AH52" s="48">
        <v>0</v>
      </c>
      <c r="AI52" s="48">
        <v>0</v>
      </c>
      <c r="AJ52" s="280">
        <v>0</v>
      </c>
      <c r="AK52" s="283">
        <f t="shared" si="12"/>
        <v>256050</v>
      </c>
      <c r="AL52" s="60">
        <v>0</v>
      </c>
      <c r="AM52" s="60">
        <v>0</v>
      </c>
      <c r="AN52" s="60">
        <f t="shared" si="15"/>
        <v>16760</v>
      </c>
      <c r="AO52" s="36">
        <f t="shared" si="1"/>
        <v>4353</v>
      </c>
      <c r="AP52" s="30">
        <v>0</v>
      </c>
      <c r="AQ52" s="36">
        <f t="shared" si="16"/>
        <v>0</v>
      </c>
      <c r="AR52" s="26">
        <f t="shared" si="2"/>
        <v>34342</v>
      </c>
      <c r="AS52" s="26">
        <v>0</v>
      </c>
      <c r="AT52" s="26">
        <v>0</v>
      </c>
      <c r="AU52" s="26">
        <v>0</v>
      </c>
      <c r="AV52" s="67">
        <f t="shared" si="13"/>
        <v>55455</v>
      </c>
      <c r="AW52" s="278">
        <f t="shared" si="14"/>
        <v>200595</v>
      </c>
      <c r="AX52" s="67"/>
      <c r="AY52" s="67"/>
    </row>
    <row r="53" spans="1:51" ht="20.100000000000001" customHeight="1" x14ac:dyDescent="0.25">
      <c r="A53" s="21">
        <v>42</v>
      </c>
      <c r="B53" s="33" t="s">
        <v>217</v>
      </c>
      <c r="C53" s="532">
        <v>438245007</v>
      </c>
      <c r="D53" s="74" t="s">
        <v>135</v>
      </c>
      <c r="E53" s="313" t="s">
        <v>407</v>
      </c>
      <c r="F53" s="490" t="s">
        <v>384</v>
      </c>
      <c r="G53" s="76">
        <v>22</v>
      </c>
      <c r="H53" s="35">
        <v>0</v>
      </c>
      <c r="I53" s="35">
        <f t="shared" si="3"/>
        <v>0</v>
      </c>
      <c r="J53" s="77">
        <v>14000</v>
      </c>
      <c r="K53" s="48">
        <f t="shared" si="4"/>
        <v>14000</v>
      </c>
      <c r="L53" s="112"/>
      <c r="M53" s="486">
        <v>217000</v>
      </c>
      <c r="N53" s="48">
        <f t="shared" si="5"/>
        <v>217000</v>
      </c>
      <c r="O53" s="28">
        <f t="shared" si="6"/>
        <v>238812</v>
      </c>
      <c r="P53" s="48">
        <f t="shared" si="0"/>
        <v>0</v>
      </c>
      <c r="Q53" s="523">
        <f t="shared" si="19"/>
        <v>3.6000000000000004E-2</v>
      </c>
      <c r="R53" s="77">
        <v>6</v>
      </c>
      <c r="S53" s="82" t="s">
        <v>100</v>
      </c>
      <c r="T53" s="496">
        <f t="shared" si="17"/>
        <v>7812</v>
      </c>
      <c r="U53" s="31"/>
      <c r="V53" s="48">
        <f t="shared" si="7"/>
        <v>0</v>
      </c>
      <c r="W53" s="31"/>
      <c r="X53" s="48">
        <f t="shared" si="8"/>
        <v>0</v>
      </c>
      <c r="Y53" s="31"/>
      <c r="Z53" s="48">
        <f t="shared" si="9"/>
        <v>0</v>
      </c>
      <c r="AA53" s="31"/>
      <c r="AB53" s="48">
        <f t="shared" si="10"/>
        <v>0</v>
      </c>
      <c r="AC53" s="31">
        <v>0</v>
      </c>
      <c r="AD53" s="48">
        <f t="shared" si="11"/>
        <v>0</v>
      </c>
      <c r="AE53" s="48">
        <v>0</v>
      </c>
      <c r="AF53" s="48">
        <v>0</v>
      </c>
      <c r="AG53" s="48">
        <v>0</v>
      </c>
      <c r="AH53" s="48">
        <v>0</v>
      </c>
      <c r="AI53" s="48">
        <v>0</v>
      </c>
      <c r="AJ53" s="280">
        <v>0</v>
      </c>
      <c r="AK53" s="283">
        <f t="shared" si="12"/>
        <v>238812</v>
      </c>
      <c r="AL53" s="60">
        <v>0</v>
      </c>
      <c r="AM53" s="60">
        <v>0</v>
      </c>
      <c r="AN53" s="60">
        <f t="shared" si="15"/>
        <v>16760</v>
      </c>
      <c r="AO53" s="36">
        <f t="shared" si="1"/>
        <v>4060</v>
      </c>
      <c r="AP53" s="30">
        <v>0</v>
      </c>
      <c r="AQ53" s="36">
        <f t="shared" si="16"/>
        <v>0</v>
      </c>
      <c r="AR53" s="26">
        <f t="shared" si="2"/>
        <v>30377</v>
      </c>
      <c r="AS53" s="26">
        <v>0</v>
      </c>
      <c r="AT53" s="26">
        <v>0</v>
      </c>
      <c r="AU53" s="26">
        <v>0</v>
      </c>
      <c r="AV53" s="67">
        <f t="shared" si="13"/>
        <v>51197</v>
      </c>
      <c r="AW53" s="278">
        <f t="shared" si="14"/>
        <v>187615</v>
      </c>
      <c r="AX53" s="67"/>
      <c r="AY53" s="67"/>
    </row>
    <row r="54" spans="1:51" ht="20.100000000000001" customHeight="1" x14ac:dyDescent="0.25">
      <c r="A54" s="21">
        <v>43</v>
      </c>
      <c r="B54" s="33" t="s">
        <v>218</v>
      </c>
      <c r="C54" s="532">
        <v>565843048</v>
      </c>
      <c r="D54" s="74" t="s">
        <v>136</v>
      </c>
      <c r="E54" s="313" t="s">
        <v>408</v>
      </c>
      <c r="F54" s="311" t="s">
        <v>384</v>
      </c>
      <c r="G54" s="76">
        <v>22</v>
      </c>
      <c r="H54" s="35">
        <v>0</v>
      </c>
      <c r="I54" s="35">
        <f t="shared" si="3"/>
        <v>0</v>
      </c>
      <c r="J54" s="77">
        <v>14000</v>
      </c>
      <c r="K54" s="48">
        <f t="shared" si="4"/>
        <v>14000</v>
      </c>
      <c r="L54" s="112"/>
      <c r="M54" s="486">
        <v>217000</v>
      </c>
      <c r="N54" s="48">
        <f t="shared" si="5"/>
        <v>217000</v>
      </c>
      <c r="O54" s="28">
        <f t="shared" si="6"/>
        <v>240114</v>
      </c>
      <c r="P54" s="48">
        <f t="shared" si="0"/>
        <v>0</v>
      </c>
      <c r="Q54" s="523">
        <f t="shared" si="19"/>
        <v>4.2000000000000003E-2</v>
      </c>
      <c r="R54" s="77">
        <v>7</v>
      </c>
      <c r="S54" s="82" t="s">
        <v>104</v>
      </c>
      <c r="T54" s="496">
        <f t="shared" si="17"/>
        <v>9114</v>
      </c>
      <c r="U54" s="31"/>
      <c r="V54" s="48">
        <f t="shared" si="7"/>
        <v>0</v>
      </c>
      <c r="W54" s="31"/>
      <c r="X54" s="48">
        <f t="shared" si="8"/>
        <v>0</v>
      </c>
      <c r="Y54" s="31"/>
      <c r="Z54" s="48">
        <f t="shared" si="9"/>
        <v>0</v>
      </c>
      <c r="AA54" s="31"/>
      <c r="AB54" s="48">
        <f t="shared" si="10"/>
        <v>0</v>
      </c>
      <c r="AC54" s="31">
        <v>0</v>
      </c>
      <c r="AD54" s="48">
        <f t="shared" si="11"/>
        <v>0</v>
      </c>
      <c r="AE54" s="48">
        <v>0</v>
      </c>
      <c r="AF54" s="48">
        <v>0</v>
      </c>
      <c r="AG54" s="48">
        <v>0</v>
      </c>
      <c r="AH54" s="48">
        <v>0</v>
      </c>
      <c r="AI54" s="48">
        <v>0</v>
      </c>
      <c r="AJ54" s="280">
        <v>0</v>
      </c>
      <c r="AK54" s="283">
        <f t="shared" si="12"/>
        <v>240114</v>
      </c>
      <c r="AL54" s="60">
        <v>0</v>
      </c>
      <c r="AM54" s="60">
        <v>0</v>
      </c>
      <c r="AN54" s="60">
        <f t="shared" si="15"/>
        <v>16760</v>
      </c>
      <c r="AO54" s="36">
        <f t="shared" si="1"/>
        <v>4082</v>
      </c>
      <c r="AP54" s="30">
        <v>0</v>
      </c>
      <c r="AQ54" s="36">
        <f t="shared" si="16"/>
        <v>0</v>
      </c>
      <c r="AR54" s="26">
        <f t="shared" si="2"/>
        <v>30676</v>
      </c>
      <c r="AS54" s="26">
        <v>0</v>
      </c>
      <c r="AT54" s="26">
        <v>0</v>
      </c>
      <c r="AU54" s="26">
        <v>0</v>
      </c>
      <c r="AV54" s="67">
        <f t="shared" si="13"/>
        <v>51518</v>
      </c>
      <c r="AW54" s="278">
        <f t="shared" si="14"/>
        <v>188596</v>
      </c>
      <c r="AX54" s="67"/>
      <c r="AY54" s="67"/>
    </row>
    <row r="55" spans="1:51" ht="20.100000000000001" customHeight="1" x14ac:dyDescent="0.25">
      <c r="A55" s="21">
        <v>44</v>
      </c>
      <c r="B55" s="33" t="s">
        <v>219</v>
      </c>
      <c r="C55" s="532">
        <v>394756042</v>
      </c>
      <c r="D55" s="74" t="s">
        <v>141</v>
      </c>
      <c r="E55" s="313" t="s">
        <v>409</v>
      </c>
      <c r="F55" s="311" t="s">
        <v>384</v>
      </c>
      <c r="G55" s="76">
        <v>22</v>
      </c>
      <c r="H55" s="35">
        <v>0</v>
      </c>
      <c r="I55" s="35">
        <f t="shared" si="3"/>
        <v>0</v>
      </c>
      <c r="J55" s="77">
        <v>14000</v>
      </c>
      <c r="K55" s="48">
        <f t="shared" si="4"/>
        <v>14000</v>
      </c>
      <c r="L55" s="112"/>
      <c r="M55" s="486">
        <v>217000</v>
      </c>
      <c r="N55" s="48">
        <f t="shared" si="5"/>
        <v>217000</v>
      </c>
      <c r="O55" s="28">
        <f t="shared" si="6"/>
        <v>241416</v>
      </c>
      <c r="P55" s="48">
        <f t="shared" si="0"/>
        <v>0</v>
      </c>
      <c r="Q55" s="523">
        <f t="shared" si="19"/>
        <v>4.8000000000000001E-2</v>
      </c>
      <c r="R55" s="77">
        <v>8</v>
      </c>
      <c r="S55" s="82" t="s">
        <v>101</v>
      </c>
      <c r="T55" s="496">
        <f t="shared" si="17"/>
        <v>10416</v>
      </c>
      <c r="U55" s="31"/>
      <c r="V55" s="48">
        <f t="shared" si="7"/>
        <v>0</v>
      </c>
      <c r="W55" s="31"/>
      <c r="X55" s="48">
        <f t="shared" si="8"/>
        <v>0</v>
      </c>
      <c r="Y55" s="31"/>
      <c r="Z55" s="48">
        <f t="shared" si="9"/>
        <v>0</v>
      </c>
      <c r="AA55" s="31"/>
      <c r="AB55" s="48">
        <f t="shared" si="10"/>
        <v>0</v>
      </c>
      <c r="AC55" s="31">
        <v>0</v>
      </c>
      <c r="AD55" s="48">
        <f t="shared" si="11"/>
        <v>0</v>
      </c>
      <c r="AE55" s="48">
        <v>0</v>
      </c>
      <c r="AF55" s="48">
        <v>0</v>
      </c>
      <c r="AG55" s="48">
        <v>0</v>
      </c>
      <c r="AH55" s="48">
        <v>0</v>
      </c>
      <c r="AI55" s="48">
        <v>0</v>
      </c>
      <c r="AJ55" s="280">
        <v>0</v>
      </c>
      <c r="AK55" s="283">
        <f t="shared" si="12"/>
        <v>241416</v>
      </c>
      <c r="AL55" s="60">
        <v>0</v>
      </c>
      <c r="AM55" s="60">
        <v>0</v>
      </c>
      <c r="AN55" s="60">
        <f t="shared" si="15"/>
        <v>16760</v>
      </c>
      <c r="AO55" s="36">
        <f t="shared" si="1"/>
        <v>4104</v>
      </c>
      <c r="AP55" s="30">
        <v>0</v>
      </c>
      <c r="AQ55" s="36">
        <f t="shared" si="16"/>
        <v>0</v>
      </c>
      <c r="AR55" s="26">
        <f t="shared" si="2"/>
        <v>30976</v>
      </c>
      <c r="AS55" s="26">
        <v>0</v>
      </c>
      <c r="AT55" s="26">
        <v>0</v>
      </c>
      <c r="AU55" s="26">
        <v>0</v>
      </c>
      <c r="AV55" s="67">
        <f t="shared" si="13"/>
        <v>51840</v>
      </c>
      <c r="AW55" s="278">
        <f t="shared" si="14"/>
        <v>189576</v>
      </c>
      <c r="AX55" s="67"/>
      <c r="AY55" s="67"/>
    </row>
    <row r="56" spans="1:51" ht="20.100000000000001" customHeight="1" x14ac:dyDescent="0.25">
      <c r="A56" s="21">
        <v>45</v>
      </c>
      <c r="B56" s="33" t="s">
        <v>220</v>
      </c>
      <c r="C56" s="532">
        <v>590653556</v>
      </c>
      <c r="D56" s="74" t="s">
        <v>139</v>
      </c>
      <c r="E56" s="313" t="s">
        <v>410</v>
      </c>
      <c r="F56" s="311" t="s">
        <v>384</v>
      </c>
      <c r="G56" s="76">
        <v>22</v>
      </c>
      <c r="H56" s="35">
        <v>0</v>
      </c>
      <c r="I56" s="35">
        <f t="shared" si="3"/>
        <v>0</v>
      </c>
      <c r="J56" s="77">
        <v>14000</v>
      </c>
      <c r="K56" s="48">
        <f t="shared" si="4"/>
        <v>14000</v>
      </c>
      <c r="L56" s="112"/>
      <c r="M56" s="486">
        <v>217000</v>
      </c>
      <c r="N56" s="48">
        <f t="shared" si="5"/>
        <v>217000</v>
      </c>
      <c r="O56" s="28">
        <f t="shared" si="6"/>
        <v>242718</v>
      </c>
      <c r="P56" s="48">
        <f t="shared" si="0"/>
        <v>0</v>
      </c>
      <c r="Q56" s="523">
        <f t="shared" si="19"/>
        <v>5.3999999999999999E-2</v>
      </c>
      <c r="R56" s="77">
        <v>9</v>
      </c>
      <c r="S56" s="82" t="s">
        <v>102</v>
      </c>
      <c r="T56" s="496">
        <f t="shared" si="17"/>
        <v>11718</v>
      </c>
      <c r="U56" s="31"/>
      <c r="V56" s="48">
        <f t="shared" si="7"/>
        <v>0</v>
      </c>
      <c r="W56" s="31"/>
      <c r="X56" s="48">
        <f t="shared" si="8"/>
        <v>0</v>
      </c>
      <c r="Y56" s="31"/>
      <c r="Z56" s="48">
        <f t="shared" si="9"/>
        <v>0</v>
      </c>
      <c r="AA56" s="31"/>
      <c r="AB56" s="48">
        <f t="shared" si="10"/>
        <v>0</v>
      </c>
      <c r="AC56" s="31">
        <v>0</v>
      </c>
      <c r="AD56" s="48">
        <f t="shared" si="11"/>
        <v>0</v>
      </c>
      <c r="AE56" s="48">
        <v>0</v>
      </c>
      <c r="AF56" s="48">
        <v>0</v>
      </c>
      <c r="AG56" s="48">
        <v>0</v>
      </c>
      <c r="AH56" s="48">
        <v>0</v>
      </c>
      <c r="AI56" s="48">
        <v>0</v>
      </c>
      <c r="AJ56" s="280">
        <v>0</v>
      </c>
      <c r="AK56" s="283">
        <f t="shared" si="12"/>
        <v>242718</v>
      </c>
      <c r="AL56" s="60">
        <v>0</v>
      </c>
      <c r="AM56" s="60">
        <v>0</v>
      </c>
      <c r="AN56" s="60">
        <f t="shared" si="15"/>
        <v>16760</v>
      </c>
      <c r="AO56" s="36">
        <f t="shared" si="1"/>
        <v>4126</v>
      </c>
      <c r="AP56" s="30">
        <v>0</v>
      </c>
      <c r="AQ56" s="36">
        <f t="shared" si="16"/>
        <v>0</v>
      </c>
      <c r="AR56" s="26">
        <f t="shared" si="2"/>
        <v>31275</v>
      </c>
      <c r="AS56" s="26">
        <v>0</v>
      </c>
      <c r="AT56" s="26">
        <v>0</v>
      </c>
      <c r="AU56" s="26">
        <v>0</v>
      </c>
      <c r="AV56" s="67">
        <f t="shared" si="13"/>
        <v>52161</v>
      </c>
      <c r="AW56" s="278">
        <f t="shared" si="14"/>
        <v>190557</v>
      </c>
      <c r="AX56" s="67"/>
      <c r="AY56" s="67"/>
    </row>
    <row r="57" spans="1:51" ht="20.100000000000001" customHeight="1" x14ac:dyDescent="0.25">
      <c r="A57" s="21">
        <v>46</v>
      </c>
      <c r="B57" s="33" t="s">
        <v>221</v>
      </c>
      <c r="C57" s="532">
        <v>622037866</v>
      </c>
      <c r="D57" s="74" t="s">
        <v>140</v>
      </c>
      <c r="E57" s="313" t="s">
        <v>411</v>
      </c>
      <c r="F57" s="311" t="s">
        <v>384</v>
      </c>
      <c r="G57" s="76">
        <v>22</v>
      </c>
      <c r="H57" s="35">
        <v>0</v>
      </c>
      <c r="I57" s="35">
        <f t="shared" si="3"/>
        <v>0</v>
      </c>
      <c r="J57" s="77">
        <v>14000</v>
      </c>
      <c r="K57" s="48">
        <f t="shared" si="4"/>
        <v>14000</v>
      </c>
      <c r="L57" s="112"/>
      <c r="M57" s="486">
        <v>217000</v>
      </c>
      <c r="N57" s="48">
        <f t="shared" si="5"/>
        <v>217000</v>
      </c>
      <c r="O57" s="28">
        <f t="shared" si="6"/>
        <v>244020</v>
      </c>
      <c r="P57" s="48">
        <f t="shared" si="0"/>
        <v>0</v>
      </c>
      <c r="Q57" s="523">
        <f t="shared" si="19"/>
        <v>0.06</v>
      </c>
      <c r="R57" s="77">
        <v>10</v>
      </c>
      <c r="S57" s="82" t="s">
        <v>103</v>
      </c>
      <c r="T57" s="496">
        <f t="shared" si="17"/>
        <v>13020</v>
      </c>
      <c r="U57" s="31"/>
      <c r="V57" s="48">
        <f t="shared" si="7"/>
        <v>0</v>
      </c>
      <c r="W57" s="31"/>
      <c r="X57" s="48">
        <f t="shared" si="8"/>
        <v>0</v>
      </c>
      <c r="Y57" s="31"/>
      <c r="Z57" s="48">
        <f t="shared" si="9"/>
        <v>0</v>
      </c>
      <c r="AA57" s="31"/>
      <c r="AB57" s="48">
        <f t="shared" si="10"/>
        <v>0</v>
      </c>
      <c r="AC57" s="31">
        <v>0</v>
      </c>
      <c r="AD57" s="48">
        <f t="shared" si="11"/>
        <v>0</v>
      </c>
      <c r="AE57" s="48">
        <v>0</v>
      </c>
      <c r="AF57" s="48">
        <v>0</v>
      </c>
      <c r="AG57" s="48">
        <v>0</v>
      </c>
      <c r="AH57" s="48">
        <v>0</v>
      </c>
      <c r="AI57" s="48">
        <v>0</v>
      </c>
      <c r="AJ57" s="280">
        <v>0</v>
      </c>
      <c r="AK57" s="283">
        <f t="shared" si="12"/>
        <v>244020</v>
      </c>
      <c r="AL57" s="60">
        <v>0</v>
      </c>
      <c r="AM57" s="60">
        <v>0</v>
      </c>
      <c r="AN57" s="60">
        <f t="shared" si="15"/>
        <v>16760</v>
      </c>
      <c r="AO57" s="36">
        <f t="shared" si="1"/>
        <v>4148</v>
      </c>
      <c r="AP57" s="30">
        <v>0</v>
      </c>
      <c r="AQ57" s="36">
        <f t="shared" si="16"/>
        <v>0</v>
      </c>
      <c r="AR57" s="26">
        <f t="shared" si="2"/>
        <v>31575</v>
      </c>
      <c r="AS57" s="26">
        <v>0</v>
      </c>
      <c r="AT57" s="26">
        <v>0</v>
      </c>
      <c r="AU57" s="26">
        <v>0</v>
      </c>
      <c r="AV57" s="67">
        <f t="shared" si="13"/>
        <v>52483</v>
      </c>
      <c r="AW57" s="278">
        <f t="shared" si="14"/>
        <v>191537</v>
      </c>
      <c r="AX57" s="67"/>
      <c r="AY57" s="67"/>
    </row>
    <row r="58" spans="1:51" ht="20.100000000000001" customHeight="1" x14ac:dyDescent="0.25">
      <c r="A58" s="21">
        <v>47</v>
      </c>
      <c r="B58" s="33" t="s">
        <v>222</v>
      </c>
      <c r="C58" s="532">
        <v>900167366</v>
      </c>
      <c r="D58" s="74" t="s">
        <v>327</v>
      </c>
      <c r="E58" s="313" t="s">
        <v>412</v>
      </c>
      <c r="F58" s="311" t="s">
        <v>384</v>
      </c>
      <c r="G58" s="76">
        <v>22</v>
      </c>
      <c r="H58" s="35">
        <v>0</v>
      </c>
      <c r="I58" s="35">
        <f t="shared" si="3"/>
        <v>0</v>
      </c>
      <c r="J58" s="77">
        <v>14000</v>
      </c>
      <c r="K58" s="48">
        <f t="shared" si="4"/>
        <v>14000</v>
      </c>
      <c r="L58" s="112"/>
      <c r="M58" s="486">
        <v>217000</v>
      </c>
      <c r="N58" s="48">
        <f t="shared" si="5"/>
        <v>217000</v>
      </c>
      <c r="O58" s="28">
        <f t="shared" si="6"/>
        <v>245756</v>
      </c>
      <c r="P58" s="48">
        <f t="shared" si="0"/>
        <v>0</v>
      </c>
      <c r="Q58" s="523">
        <f t="shared" si="19"/>
        <v>6.8000000000000005E-2</v>
      </c>
      <c r="R58" s="77">
        <v>11</v>
      </c>
      <c r="S58" s="82" t="s">
        <v>118</v>
      </c>
      <c r="T58" s="496">
        <f t="shared" si="17"/>
        <v>14756</v>
      </c>
      <c r="U58" s="31"/>
      <c r="V58" s="48">
        <f t="shared" si="7"/>
        <v>0</v>
      </c>
      <c r="W58" s="31"/>
      <c r="X58" s="48">
        <f t="shared" si="8"/>
        <v>0</v>
      </c>
      <c r="Y58" s="31"/>
      <c r="Z58" s="48">
        <f t="shared" si="9"/>
        <v>0</v>
      </c>
      <c r="AA58" s="31"/>
      <c r="AB58" s="48">
        <f t="shared" si="10"/>
        <v>0</v>
      </c>
      <c r="AC58" s="31">
        <v>0</v>
      </c>
      <c r="AD58" s="48">
        <f t="shared" si="11"/>
        <v>0</v>
      </c>
      <c r="AE58" s="48">
        <v>0</v>
      </c>
      <c r="AF58" s="48">
        <v>0</v>
      </c>
      <c r="AG58" s="48">
        <v>0</v>
      </c>
      <c r="AH58" s="48">
        <v>0</v>
      </c>
      <c r="AI58" s="48">
        <v>0</v>
      </c>
      <c r="AJ58" s="280">
        <v>0</v>
      </c>
      <c r="AK58" s="283">
        <f t="shared" si="12"/>
        <v>245756</v>
      </c>
      <c r="AL58" s="60">
        <v>0</v>
      </c>
      <c r="AM58" s="60">
        <v>0</v>
      </c>
      <c r="AN58" s="60">
        <f t="shared" si="15"/>
        <v>16760</v>
      </c>
      <c r="AO58" s="36">
        <f t="shared" si="1"/>
        <v>4178</v>
      </c>
      <c r="AP58" s="30">
        <v>0</v>
      </c>
      <c r="AQ58" s="36">
        <f t="shared" si="16"/>
        <v>0</v>
      </c>
      <c r="AR58" s="26">
        <f t="shared" si="2"/>
        <v>31974</v>
      </c>
      <c r="AS58" s="26">
        <v>0</v>
      </c>
      <c r="AT58" s="26">
        <v>0</v>
      </c>
      <c r="AU58" s="26">
        <v>0</v>
      </c>
      <c r="AV58" s="67">
        <f t="shared" si="13"/>
        <v>52912</v>
      </c>
      <c r="AW58" s="278">
        <f t="shared" si="14"/>
        <v>192844</v>
      </c>
      <c r="AX58" s="67"/>
      <c r="AY58" s="67"/>
    </row>
    <row r="59" spans="1:51" ht="20.100000000000001" customHeight="1" x14ac:dyDescent="0.25">
      <c r="A59" s="21">
        <v>48</v>
      </c>
      <c r="B59" s="33" t="s">
        <v>223</v>
      </c>
      <c r="C59" s="532">
        <v>596728029</v>
      </c>
      <c r="D59" s="74" t="s">
        <v>330</v>
      </c>
      <c r="E59" s="313" t="s">
        <v>413</v>
      </c>
      <c r="F59" s="311" t="s">
        <v>384</v>
      </c>
      <c r="G59" s="76">
        <v>22</v>
      </c>
      <c r="H59" s="35">
        <v>0</v>
      </c>
      <c r="I59" s="35">
        <f t="shared" si="3"/>
        <v>0</v>
      </c>
      <c r="J59" s="77">
        <v>14000</v>
      </c>
      <c r="K59" s="48">
        <f t="shared" si="4"/>
        <v>14000</v>
      </c>
      <c r="L59" s="112"/>
      <c r="M59" s="486">
        <v>217000</v>
      </c>
      <c r="N59" s="48">
        <f t="shared" si="5"/>
        <v>217000</v>
      </c>
      <c r="O59" s="28">
        <f t="shared" si="6"/>
        <v>247492</v>
      </c>
      <c r="P59" s="48">
        <f t="shared" si="0"/>
        <v>0</v>
      </c>
      <c r="Q59" s="523">
        <f t="shared" si="19"/>
        <v>7.5999999999999998E-2</v>
      </c>
      <c r="R59" s="77">
        <v>12</v>
      </c>
      <c r="S59" s="82" t="s">
        <v>119</v>
      </c>
      <c r="T59" s="496">
        <f t="shared" si="17"/>
        <v>16492</v>
      </c>
      <c r="U59" s="31"/>
      <c r="V59" s="48">
        <f t="shared" si="7"/>
        <v>0</v>
      </c>
      <c r="W59" s="31"/>
      <c r="X59" s="48">
        <f t="shared" si="8"/>
        <v>0</v>
      </c>
      <c r="Y59" s="31"/>
      <c r="Z59" s="48">
        <f t="shared" si="9"/>
        <v>0</v>
      </c>
      <c r="AA59" s="31"/>
      <c r="AB59" s="48">
        <f t="shared" si="10"/>
        <v>0</v>
      </c>
      <c r="AC59" s="31">
        <v>0</v>
      </c>
      <c r="AD59" s="48">
        <f t="shared" si="11"/>
        <v>0</v>
      </c>
      <c r="AE59" s="48">
        <v>0</v>
      </c>
      <c r="AF59" s="48">
        <v>0</v>
      </c>
      <c r="AG59" s="48">
        <v>0</v>
      </c>
      <c r="AH59" s="48">
        <v>0</v>
      </c>
      <c r="AI59" s="48">
        <v>0</v>
      </c>
      <c r="AJ59" s="280">
        <v>0</v>
      </c>
      <c r="AK59" s="283">
        <f t="shared" si="12"/>
        <v>247492</v>
      </c>
      <c r="AL59" s="60">
        <v>0</v>
      </c>
      <c r="AM59" s="60">
        <v>0</v>
      </c>
      <c r="AN59" s="60">
        <f t="shared" si="15"/>
        <v>16760</v>
      </c>
      <c r="AO59" s="36">
        <f t="shared" si="1"/>
        <v>4207</v>
      </c>
      <c r="AP59" s="30">
        <v>0</v>
      </c>
      <c r="AQ59" s="36">
        <f t="shared" si="16"/>
        <v>0</v>
      </c>
      <c r="AR59" s="26">
        <f t="shared" si="2"/>
        <v>32373</v>
      </c>
      <c r="AS59" s="26">
        <v>0</v>
      </c>
      <c r="AT59" s="26">
        <v>0</v>
      </c>
      <c r="AU59" s="26">
        <v>0</v>
      </c>
      <c r="AV59" s="67">
        <f t="shared" si="13"/>
        <v>53340</v>
      </c>
      <c r="AW59" s="278">
        <f t="shared" si="14"/>
        <v>194152</v>
      </c>
      <c r="AX59" s="67"/>
      <c r="AY59" s="67"/>
    </row>
    <row r="60" spans="1:51" ht="20.100000000000001" customHeight="1" x14ac:dyDescent="0.25">
      <c r="A60" s="21">
        <v>49</v>
      </c>
      <c r="B60" s="33" t="s">
        <v>224</v>
      </c>
      <c r="C60" s="532">
        <v>191988103</v>
      </c>
      <c r="D60" s="74" t="s">
        <v>137</v>
      </c>
      <c r="E60" s="313" t="s">
        <v>414</v>
      </c>
      <c r="F60" s="311" t="s">
        <v>384</v>
      </c>
      <c r="G60" s="76">
        <v>22</v>
      </c>
      <c r="H60" s="35">
        <v>0</v>
      </c>
      <c r="I60" s="35">
        <f t="shared" si="3"/>
        <v>0</v>
      </c>
      <c r="J60" s="77">
        <v>14000</v>
      </c>
      <c r="K60" s="48">
        <f t="shared" si="4"/>
        <v>14000</v>
      </c>
      <c r="L60" s="112"/>
      <c r="M60" s="486">
        <v>217000</v>
      </c>
      <c r="N60" s="48">
        <f t="shared" si="5"/>
        <v>217000</v>
      </c>
      <c r="O60" s="28">
        <f t="shared" si="6"/>
        <v>249228</v>
      </c>
      <c r="P60" s="48">
        <f t="shared" si="0"/>
        <v>0</v>
      </c>
      <c r="Q60" s="523">
        <f t="shared" si="19"/>
        <v>8.3999999999999991E-2</v>
      </c>
      <c r="R60" s="77">
        <v>13</v>
      </c>
      <c r="S60" s="82" t="s">
        <v>95</v>
      </c>
      <c r="T60" s="496">
        <f t="shared" si="17"/>
        <v>18228</v>
      </c>
      <c r="U60" s="31"/>
      <c r="V60" s="48">
        <f t="shared" si="7"/>
        <v>0</v>
      </c>
      <c r="W60" s="31"/>
      <c r="X60" s="48">
        <f t="shared" si="8"/>
        <v>0</v>
      </c>
      <c r="Y60" s="31"/>
      <c r="Z60" s="48">
        <f t="shared" si="9"/>
        <v>0</v>
      </c>
      <c r="AA60" s="31"/>
      <c r="AB60" s="48">
        <f t="shared" si="10"/>
        <v>0</v>
      </c>
      <c r="AC60" s="31">
        <v>0</v>
      </c>
      <c r="AD60" s="48">
        <f t="shared" si="11"/>
        <v>0</v>
      </c>
      <c r="AE60" s="48">
        <v>0</v>
      </c>
      <c r="AF60" s="48">
        <v>0</v>
      </c>
      <c r="AG60" s="48">
        <v>0</v>
      </c>
      <c r="AH60" s="48">
        <v>0</v>
      </c>
      <c r="AI60" s="48">
        <v>0</v>
      </c>
      <c r="AJ60" s="280">
        <v>0</v>
      </c>
      <c r="AK60" s="283">
        <f t="shared" si="12"/>
        <v>249228</v>
      </c>
      <c r="AL60" s="60">
        <v>0</v>
      </c>
      <c r="AM60" s="60">
        <v>0</v>
      </c>
      <c r="AN60" s="60">
        <f t="shared" si="15"/>
        <v>16760</v>
      </c>
      <c r="AO60" s="36">
        <f t="shared" si="1"/>
        <v>4237</v>
      </c>
      <c r="AP60" s="30">
        <v>0</v>
      </c>
      <c r="AQ60" s="36">
        <f t="shared" si="16"/>
        <v>0</v>
      </c>
      <c r="AR60" s="26">
        <f t="shared" si="2"/>
        <v>32772</v>
      </c>
      <c r="AS60" s="26">
        <v>0</v>
      </c>
      <c r="AT60" s="26">
        <v>0</v>
      </c>
      <c r="AU60" s="26">
        <v>0</v>
      </c>
      <c r="AV60" s="67">
        <f t="shared" si="13"/>
        <v>53769</v>
      </c>
      <c r="AW60" s="278">
        <f t="shared" si="14"/>
        <v>195459</v>
      </c>
      <c r="AX60" s="67"/>
      <c r="AY60" s="67"/>
    </row>
    <row r="61" spans="1:51" ht="20.100000000000001" customHeight="1" thickBot="1" x14ac:dyDescent="0.3">
      <c r="A61" s="21">
        <v>50</v>
      </c>
      <c r="B61" s="33" t="s">
        <v>225</v>
      </c>
      <c r="C61" s="532">
        <v>445147453</v>
      </c>
      <c r="D61" s="74" t="s">
        <v>328</v>
      </c>
      <c r="E61" s="313" t="s">
        <v>415</v>
      </c>
      <c r="F61" s="482" t="s">
        <v>384</v>
      </c>
      <c r="G61" s="76">
        <v>22</v>
      </c>
      <c r="H61" s="35">
        <v>0</v>
      </c>
      <c r="I61" s="35">
        <f t="shared" si="3"/>
        <v>0</v>
      </c>
      <c r="J61" s="77">
        <v>14000</v>
      </c>
      <c r="K61" s="48">
        <f t="shared" si="4"/>
        <v>14000</v>
      </c>
      <c r="L61" s="112"/>
      <c r="M61" s="486">
        <v>217000</v>
      </c>
      <c r="N61" s="48">
        <f t="shared" si="5"/>
        <v>217000</v>
      </c>
      <c r="O61" s="28">
        <f t="shared" si="6"/>
        <v>250964</v>
      </c>
      <c r="P61" s="48">
        <f t="shared" si="0"/>
        <v>0</v>
      </c>
      <c r="Q61" s="523">
        <f t="shared" si="19"/>
        <v>9.1999999999999998E-2</v>
      </c>
      <c r="R61" s="77">
        <v>14</v>
      </c>
      <c r="S61" s="82" t="s">
        <v>96</v>
      </c>
      <c r="T61" s="496">
        <f t="shared" si="17"/>
        <v>19964</v>
      </c>
      <c r="U61" s="31"/>
      <c r="V61" s="48">
        <f t="shared" si="7"/>
        <v>0</v>
      </c>
      <c r="W61" s="31"/>
      <c r="X61" s="48">
        <f t="shared" si="8"/>
        <v>0</v>
      </c>
      <c r="Y61" s="31"/>
      <c r="Z61" s="48">
        <f t="shared" si="9"/>
        <v>0</v>
      </c>
      <c r="AA61" s="31"/>
      <c r="AB61" s="48">
        <f t="shared" si="10"/>
        <v>0</v>
      </c>
      <c r="AC61" s="31">
        <v>0</v>
      </c>
      <c r="AD61" s="48">
        <f t="shared" si="11"/>
        <v>0</v>
      </c>
      <c r="AE61" s="48">
        <v>0</v>
      </c>
      <c r="AF61" s="48">
        <v>0</v>
      </c>
      <c r="AG61" s="48">
        <v>0</v>
      </c>
      <c r="AH61" s="48">
        <v>0</v>
      </c>
      <c r="AI61" s="48">
        <v>0</v>
      </c>
      <c r="AJ61" s="280">
        <v>0</v>
      </c>
      <c r="AK61" s="283">
        <f t="shared" si="12"/>
        <v>250964</v>
      </c>
      <c r="AL61" s="60">
        <v>0</v>
      </c>
      <c r="AM61" s="60">
        <v>0</v>
      </c>
      <c r="AN61" s="60">
        <f t="shared" si="15"/>
        <v>16760</v>
      </c>
      <c r="AO61" s="36">
        <f t="shared" si="1"/>
        <v>4266</v>
      </c>
      <c r="AP61" s="30">
        <v>0</v>
      </c>
      <c r="AQ61" s="36">
        <f t="shared" si="16"/>
        <v>0</v>
      </c>
      <c r="AR61" s="26">
        <f t="shared" si="2"/>
        <v>33172</v>
      </c>
      <c r="AS61" s="26">
        <v>0</v>
      </c>
      <c r="AT61" s="26">
        <v>0</v>
      </c>
      <c r="AU61" s="26">
        <v>0</v>
      </c>
      <c r="AV61" s="67">
        <f t="shared" si="13"/>
        <v>54198</v>
      </c>
      <c r="AW61" s="278">
        <f t="shared" si="14"/>
        <v>196766</v>
      </c>
      <c r="AX61" s="67"/>
      <c r="AY61" s="67"/>
    </row>
    <row r="62" spans="1:51" ht="20.100000000000001" customHeight="1" x14ac:dyDescent="0.25">
      <c r="A62" s="21">
        <v>51</v>
      </c>
      <c r="B62" s="33" t="s">
        <v>226</v>
      </c>
      <c r="C62" s="532">
        <v>226023380</v>
      </c>
      <c r="D62" s="74" t="s">
        <v>329</v>
      </c>
      <c r="E62" s="313" t="s">
        <v>416</v>
      </c>
      <c r="F62" s="490" t="s">
        <v>385</v>
      </c>
      <c r="G62" s="76">
        <v>22</v>
      </c>
      <c r="H62" s="35">
        <v>0</v>
      </c>
      <c r="I62" s="35">
        <f t="shared" si="3"/>
        <v>0</v>
      </c>
      <c r="J62" s="77">
        <v>14000</v>
      </c>
      <c r="K62" s="48">
        <f t="shared" si="4"/>
        <v>14000</v>
      </c>
      <c r="L62" s="112"/>
      <c r="M62" s="486">
        <v>205000</v>
      </c>
      <c r="N62" s="48">
        <f t="shared" si="5"/>
        <v>205000</v>
      </c>
      <c r="O62" s="28">
        <f t="shared" si="6"/>
        <v>239500</v>
      </c>
      <c r="P62" s="48">
        <f t="shared" si="0"/>
        <v>0</v>
      </c>
      <c r="Q62" s="523">
        <f t="shared" si="19"/>
        <v>0.1</v>
      </c>
      <c r="R62" s="77">
        <v>15</v>
      </c>
      <c r="S62" s="82" t="s">
        <v>97</v>
      </c>
      <c r="T62" s="496">
        <f t="shared" si="17"/>
        <v>20500</v>
      </c>
      <c r="U62" s="31"/>
      <c r="V62" s="48">
        <f t="shared" si="7"/>
        <v>0</v>
      </c>
      <c r="W62" s="31"/>
      <c r="X62" s="48">
        <f t="shared" si="8"/>
        <v>0</v>
      </c>
      <c r="Y62" s="31"/>
      <c r="Z62" s="48">
        <f t="shared" si="9"/>
        <v>0</v>
      </c>
      <c r="AA62" s="31"/>
      <c r="AB62" s="48">
        <f t="shared" si="10"/>
        <v>0</v>
      </c>
      <c r="AC62" s="31">
        <v>0</v>
      </c>
      <c r="AD62" s="48">
        <f t="shared" si="11"/>
        <v>0</v>
      </c>
      <c r="AE62" s="48">
        <v>0</v>
      </c>
      <c r="AF62" s="48">
        <v>0</v>
      </c>
      <c r="AG62" s="48">
        <v>0</v>
      </c>
      <c r="AH62" s="48">
        <v>0</v>
      </c>
      <c r="AI62" s="48">
        <v>0</v>
      </c>
      <c r="AJ62" s="280">
        <v>0</v>
      </c>
      <c r="AK62" s="283">
        <f t="shared" si="12"/>
        <v>239500</v>
      </c>
      <c r="AL62" s="60">
        <v>0</v>
      </c>
      <c r="AM62" s="60">
        <v>0</v>
      </c>
      <c r="AN62" s="60">
        <f t="shared" si="15"/>
        <v>16760</v>
      </c>
      <c r="AO62" s="36">
        <f t="shared" si="1"/>
        <v>4072</v>
      </c>
      <c r="AP62" s="30">
        <v>0</v>
      </c>
      <c r="AQ62" s="36">
        <f t="shared" si="16"/>
        <v>0</v>
      </c>
      <c r="AR62" s="26">
        <f t="shared" si="2"/>
        <v>30535</v>
      </c>
      <c r="AS62" s="26">
        <v>0</v>
      </c>
      <c r="AT62" s="26">
        <v>0</v>
      </c>
      <c r="AU62" s="26">
        <v>0</v>
      </c>
      <c r="AV62" s="67">
        <f t="shared" si="13"/>
        <v>51367</v>
      </c>
      <c r="AW62" s="278">
        <f t="shared" si="14"/>
        <v>188133</v>
      </c>
      <c r="AX62" s="67"/>
      <c r="AY62" s="67"/>
    </row>
    <row r="63" spans="1:51" ht="20.100000000000001" customHeight="1" x14ac:dyDescent="0.25">
      <c r="A63" s="21">
        <v>52</v>
      </c>
      <c r="B63" s="33" t="s">
        <v>227</v>
      </c>
      <c r="C63" s="532">
        <v>317189266</v>
      </c>
      <c r="D63" s="74" t="s">
        <v>138</v>
      </c>
      <c r="E63" s="313" t="s">
        <v>417</v>
      </c>
      <c r="F63" s="311" t="s">
        <v>385</v>
      </c>
      <c r="G63" s="76">
        <v>22</v>
      </c>
      <c r="H63" s="35">
        <v>0</v>
      </c>
      <c r="I63" s="35">
        <f t="shared" si="3"/>
        <v>0</v>
      </c>
      <c r="J63" s="77">
        <v>14000</v>
      </c>
      <c r="K63" s="48">
        <f t="shared" si="4"/>
        <v>14000</v>
      </c>
      <c r="L63" s="112"/>
      <c r="M63" s="486">
        <v>205000</v>
      </c>
      <c r="N63" s="48">
        <f t="shared" si="5"/>
        <v>205000</v>
      </c>
      <c r="O63" s="28">
        <f t="shared" si="6"/>
        <v>241140</v>
      </c>
      <c r="P63" s="48">
        <f t="shared" si="0"/>
        <v>0</v>
      </c>
      <c r="Q63" s="523">
        <f t="shared" si="19"/>
        <v>0.108</v>
      </c>
      <c r="R63" s="77">
        <v>16</v>
      </c>
      <c r="S63" s="82" t="s">
        <v>98</v>
      </c>
      <c r="T63" s="496">
        <f t="shared" si="17"/>
        <v>22140</v>
      </c>
      <c r="U63" s="31"/>
      <c r="V63" s="48">
        <f t="shared" si="7"/>
        <v>0</v>
      </c>
      <c r="W63" s="31"/>
      <c r="X63" s="48">
        <f t="shared" si="8"/>
        <v>0</v>
      </c>
      <c r="Y63" s="31"/>
      <c r="Z63" s="48">
        <f t="shared" si="9"/>
        <v>0</v>
      </c>
      <c r="AA63" s="31"/>
      <c r="AB63" s="48">
        <f t="shared" si="10"/>
        <v>0</v>
      </c>
      <c r="AC63" s="31">
        <v>0</v>
      </c>
      <c r="AD63" s="48">
        <f t="shared" si="11"/>
        <v>0</v>
      </c>
      <c r="AE63" s="48">
        <v>0</v>
      </c>
      <c r="AF63" s="48">
        <v>0</v>
      </c>
      <c r="AG63" s="48">
        <v>0</v>
      </c>
      <c r="AH63" s="48">
        <v>0</v>
      </c>
      <c r="AI63" s="48">
        <v>0</v>
      </c>
      <c r="AJ63" s="280">
        <v>0</v>
      </c>
      <c r="AK63" s="283">
        <f t="shared" si="12"/>
        <v>241140</v>
      </c>
      <c r="AL63" s="60">
        <v>0</v>
      </c>
      <c r="AM63" s="60">
        <v>0</v>
      </c>
      <c r="AN63" s="60">
        <f t="shared" si="15"/>
        <v>16760</v>
      </c>
      <c r="AO63" s="36">
        <f t="shared" si="1"/>
        <v>4099</v>
      </c>
      <c r="AP63" s="30">
        <v>0</v>
      </c>
      <c r="AQ63" s="36">
        <f t="shared" si="16"/>
        <v>0</v>
      </c>
      <c r="AR63" s="26">
        <f t="shared" si="2"/>
        <v>30912</v>
      </c>
      <c r="AS63" s="26">
        <v>0</v>
      </c>
      <c r="AT63" s="26">
        <v>0</v>
      </c>
      <c r="AU63" s="26">
        <v>0</v>
      </c>
      <c r="AV63" s="67">
        <f t="shared" si="13"/>
        <v>51771</v>
      </c>
      <c r="AW63" s="278">
        <f t="shared" si="14"/>
        <v>189369</v>
      </c>
      <c r="AX63" s="67"/>
      <c r="AY63" s="67"/>
    </row>
    <row r="64" spans="1:51" ht="20.100000000000001" customHeight="1" x14ac:dyDescent="0.25">
      <c r="A64" s="21">
        <v>53</v>
      </c>
      <c r="B64" s="33" t="s">
        <v>228</v>
      </c>
      <c r="C64" s="532">
        <v>437530928</v>
      </c>
      <c r="D64" s="74" t="s">
        <v>135</v>
      </c>
      <c r="E64" s="313" t="s">
        <v>418</v>
      </c>
      <c r="F64" s="311" t="s">
        <v>385</v>
      </c>
      <c r="G64" s="76">
        <v>22</v>
      </c>
      <c r="H64" s="35">
        <v>0</v>
      </c>
      <c r="I64" s="35">
        <f t="shared" si="3"/>
        <v>0</v>
      </c>
      <c r="J64" s="77">
        <v>14000</v>
      </c>
      <c r="K64" s="48">
        <f t="shared" si="4"/>
        <v>14000</v>
      </c>
      <c r="L64" s="112"/>
      <c r="M64" s="486">
        <v>205000</v>
      </c>
      <c r="N64" s="48">
        <f t="shared" si="5"/>
        <v>205000</v>
      </c>
      <c r="O64" s="28">
        <f t="shared" si="6"/>
        <v>242780</v>
      </c>
      <c r="P64" s="48">
        <f t="shared" si="0"/>
        <v>0</v>
      </c>
      <c r="Q64" s="523">
        <f t="shared" si="19"/>
        <v>0.11599999999999999</v>
      </c>
      <c r="R64" s="77">
        <v>17</v>
      </c>
      <c r="S64" s="82" t="s">
        <v>99</v>
      </c>
      <c r="T64" s="496">
        <f t="shared" si="17"/>
        <v>23780</v>
      </c>
      <c r="U64" s="31"/>
      <c r="V64" s="48">
        <f t="shared" si="7"/>
        <v>0</v>
      </c>
      <c r="W64" s="31"/>
      <c r="X64" s="48">
        <f t="shared" si="8"/>
        <v>0</v>
      </c>
      <c r="Y64" s="31"/>
      <c r="Z64" s="48">
        <f t="shared" si="9"/>
        <v>0</v>
      </c>
      <c r="AA64" s="31"/>
      <c r="AB64" s="48">
        <f t="shared" si="10"/>
        <v>0</v>
      </c>
      <c r="AC64" s="31">
        <v>0</v>
      </c>
      <c r="AD64" s="48">
        <f t="shared" si="11"/>
        <v>0</v>
      </c>
      <c r="AE64" s="48">
        <v>0</v>
      </c>
      <c r="AF64" s="48">
        <v>0</v>
      </c>
      <c r="AG64" s="48">
        <v>0</v>
      </c>
      <c r="AH64" s="48">
        <v>0</v>
      </c>
      <c r="AI64" s="48">
        <v>0</v>
      </c>
      <c r="AJ64" s="280">
        <v>0</v>
      </c>
      <c r="AK64" s="283">
        <f t="shared" si="12"/>
        <v>242780</v>
      </c>
      <c r="AL64" s="60">
        <v>0</v>
      </c>
      <c r="AM64" s="60">
        <v>0</v>
      </c>
      <c r="AN64" s="60">
        <f t="shared" si="15"/>
        <v>16760</v>
      </c>
      <c r="AO64" s="36">
        <f t="shared" si="1"/>
        <v>4127</v>
      </c>
      <c r="AP64" s="30">
        <v>0</v>
      </c>
      <c r="AQ64" s="36">
        <f t="shared" si="16"/>
        <v>0</v>
      </c>
      <c r="AR64" s="26">
        <f t="shared" si="2"/>
        <v>31289</v>
      </c>
      <c r="AS64" s="26">
        <v>0</v>
      </c>
      <c r="AT64" s="26">
        <v>0</v>
      </c>
      <c r="AU64" s="26">
        <v>0</v>
      </c>
      <c r="AV64" s="67">
        <f t="shared" si="13"/>
        <v>52176</v>
      </c>
      <c r="AW64" s="278">
        <f t="shared" si="14"/>
        <v>190604</v>
      </c>
      <c r="AX64" s="67"/>
      <c r="AY64" s="67"/>
    </row>
    <row r="65" spans="1:51" ht="20.100000000000001" customHeight="1" x14ac:dyDescent="0.25">
      <c r="A65" s="21">
        <v>54</v>
      </c>
      <c r="B65" s="33" t="s">
        <v>229</v>
      </c>
      <c r="C65" s="532">
        <v>354870781</v>
      </c>
      <c r="D65" s="74" t="s">
        <v>136</v>
      </c>
      <c r="E65" s="313" t="s">
        <v>419</v>
      </c>
      <c r="F65" s="311" t="s">
        <v>385</v>
      </c>
      <c r="G65" s="76">
        <v>22</v>
      </c>
      <c r="H65" s="35">
        <v>0</v>
      </c>
      <c r="I65" s="35">
        <f t="shared" si="3"/>
        <v>0</v>
      </c>
      <c r="J65" s="77">
        <v>14000</v>
      </c>
      <c r="K65" s="48">
        <f t="shared" si="4"/>
        <v>14000</v>
      </c>
      <c r="L65" s="112"/>
      <c r="M65" s="486">
        <v>205000</v>
      </c>
      <c r="N65" s="48">
        <f t="shared" si="5"/>
        <v>205000</v>
      </c>
      <c r="O65" s="28">
        <f t="shared" si="6"/>
        <v>244420</v>
      </c>
      <c r="P65" s="48">
        <f t="shared" si="0"/>
        <v>0</v>
      </c>
      <c r="Q65" s="523">
        <f t="shared" si="19"/>
        <v>0.124</v>
      </c>
      <c r="R65" s="77">
        <v>18</v>
      </c>
      <c r="S65" s="82" t="s">
        <v>100</v>
      </c>
      <c r="T65" s="496">
        <f t="shared" si="17"/>
        <v>25420</v>
      </c>
      <c r="U65" s="31"/>
      <c r="V65" s="48">
        <f t="shared" si="7"/>
        <v>0</v>
      </c>
      <c r="W65" s="31"/>
      <c r="X65" s="48">
        <f t="shared" si="8"/>
        <v>0</v>
      </c>
      <c r="Y65" s="31"/>
      <c r="Z65" s="48">
        <f t="shared" si="9"/>
        <v>0</v>
      </c>
      <c r="AA65" s="31"/>
      <c r="AB65" s="48">
        <f t="shared" si="10"/>
        <v>0</v>
      </c>
      <c r="AC65" s="31">
        <v>0</v>
      </c>
      <c r="AD65" s="48">
        <f t="shared" si="11"/>
        <v>0</v>
      </c>
      <c r="AE65" s="48">
        <v>0</v>
      </c>
      <c r="AF65" s="48">
        <v>0</v>
      </c>
      <c r="AG65" s="48">
        <v>0</v>
      </c>
      <c r="AH65" s="48">
        <v>0</v>
      </c>
      <c r="AI65" s="48">
        <v>0</v>
      </c>
      <c r="AJ65" s="280">
        <v>0</v>
      </c>
      <c r="AK65" s="283">
        <f t="shared" si="12"/>
        <v>244420</v>
      </c>
      <c r="AL65" s="60">
        <v>0</v>
      </c>
      <c r="AM65" s="60">
        <v>0</v>
      </c>
      <c r="AN65" s="60">
        <f t="shared" si="15"/>
        <v>16760</v>
      </c>
      <c r="AO65" s="36">
        <f t="shared" si="1"/>
        <v>4155</v>
      </c>
      <c r="AP65" s="30">
        <v>0</v>
      </c>
      <c r="AQ65" s="36">
        <f t="shared" si="16"/>
        <v>0</v>
      </c>
      <c r="AR65" s="26">
        <f t="shared" si="2"/>
        <v>31667</v>
      </c>
      <c r="AS65" s="26">
        <v>0</v>
      </c>
      <c r="AT65" s="26">
        <v>0</v>
      </c>
      <c r="AU65" s="26">
        <v>0</v>
      </c>
      <c r="AV65" s="67">
        <f t="shared" si="13"/>
        <v>52582</v>
      </c>
      <c r="AW65" s="278">
        <f t="shared" si="14"/>
        <v>191838</v>
      </c>
      <c r="AX65" s="67"/>
      <c r="AY65" s="67"/>
    </row>
    <row r="66" spans="1:51" ht="20.100000000000001" customHeight="1" x14ac:dyDescent="0.25">
      <c r="A66" s="21">
        <v>55</v>
      </c>
      <c r="B66" s="33" t="s">
        <v>230</v>
      </c>
      <c r="C66" s="532">
        <v>791668855</v>
      </c>
      <c r="D66" s="74" t="s">
        <v>141</v>
      </c>
      <c r="E66" s="313" t="s">
        <v>427</v>
      </c>
      <c r="F66" s="311" t="s">
        <v>385</v>
      </c>
      <c r="G66" s="76">
        <v>22</v>
      </c>
      <c r="H66" s="35">
        <v>0</v>
      </c>
      <c r="I66" s="35">
        <f t="shared" si="3"/>
        <v>0</v>
      </c>
      <c r="J66" s="77">
        <v>14000</v>
      </c>
      <c r="K66" s="48">
        <f t="shared" si="4"/>
        <v>14000</v>
      </c>
      <c r="L66" s="112"/>
      <c r="M66" s="486">
        <v>205000</v>
      </c>
      <c r="N66" s="48">
        <f t="shared" si="5"/>
        <v>205000</v>
      </c>
      <c r="O66" s="28">
        <f t="shared" si="6"/>
        <v>246060</v>
      </c>
      <c r="P66" s="48">
        <f t="shared" si="0"/>
        <v>0</v>
      </c>
      <c r="Q66" s="523">
        <f t="shared" si="19"/>
        <v>0.13200000000000001</v>
      </c>
      <c r="R66" s="77">
        <v>19</v>
      </c>
      <c r="S66" s="82" t="s">
        <v>104</v>
      </c>
      <c r="T66" s="496">
        <f t="shared" si="17"/>
        <v>27060</v>
      </c>
      <c r="U66" s="31"/>
      <c r="V66" s="48">
        <f t="shared" si="7"/>
        <v>0</v>
      </c>
      <c r="W66" s="31"/>
      <c r="X66" s="48">
        <f t="shared" si="8"/>
        <v>0</v>
      </c>
      <c r="Y66" s="31"/>
      <c r="Z66" s="48">
        <f t="shared" si="9"/>
        <v>0</v>
      </c>
      <c r="AA66" s="31"/>
      <c r="AB66" s="48">
        <f t="shared" si="10"/>
        <v>0</v>
      </c>
      <c r="AC66" s="31">
        <v>0</v>
      </c>
      <c r="AD66" s="48">
        <f t="shared" si="11"/>
        <v>0</v>
      </c>
      <c r="AE66" s="48">
        <v>0</v>
      </c>
      <c r="AF66" s="48">
        <v>0</v>
      </c>
      <c r="AG66" s="48">
        <v>0</v>
      </c>
      <c r="AH66" s="48">
        <v>0</v>
      </c>
      <c r="AI66" s="48">
        <v>0</v>
      </c>
      <c r="AJ66" s="280">
        <v>0</v>
      </c>
      <c r="AK66" s="283">
        <f t="shared" si="12"/>
        <v>246060</v>
      </c>
      <c r="AL66" s="60">
        <v>0</v>
      </c>
      <c r="AM66" s="60">
        <v>0</v>
      </c>
      <c r="AN66" s="60">
        <f t="shared" si="15"/>
        <v>16760</v>
      </c>
      <c r="AO66" s="36">
        <f t="shared" si="1"/>
        <v>4183</v>
      </c>
      <c r="AP66" s="30">
        <v>0</v>
      </c>
      <c r="AQ66" s="36">
        <f t="shared" si="16"/>
        <v>0</v>
      </c>
      <c r="AR66" s="26">
        <f t="shared" si="2"/>
        <v>32044</v>
      </c>
      <c r="AS66" s="26">
        <v>0</v>
      </c>
      <c r="AT66" s="26">
        <v>0</v>
      </c>
      <c r="AU66" s="26">
        <v>0</v>
      </c>
      <c r="AV66" s="67">
        <f t="shared" si="13"/>
        <v>52987</v>
      </c>
      <c r="AW66" s="278">
        <f t="shared" si="14"/>
        <v>193073</v>
      </c>
      <c r="AX66" s="67"/>
      <c r="AY66" s="67"/>
    </row>
    <row r="67" spans="1:51" ht="20.100000000000001" customHeight="1" x14ac:dyDescent="0.25">
      <c r="A67" s="21">
        <v>56</v>
      </c>
      <c r="B67" s="33" t="s">
        <v>231</v>
      </c>
      <c r="C67" s="532">
        <v>671170836</v>
      </c>
      <c r="D67" s="74" t="s">
        <v>139</v>
      </c>
      <c r="E67" s="313" t="s">
        <v>428</v>
      </c>
      <c r="F67" s="311" t="s">
        <v>385</v>
      </c>
      <c r="G67" s="76">
        <v>22</v>
      </c>
      <c r="H67" s="35">
        <v>0</v>
      </c>
      <c r="I67" s="35">
        <f t="shared" si="3"/>
        <v>0</v>
      </c>
      <c r="J67" s="77">
        <v>14000</v>
      </c>
      <c r="K67" s="48">
        <f t="shared" si="4"/>
        <v>14000</v>
      </c>
      <c r="L67" s="112"/>
      <c r="M67" s="486">
        <v>205000</v>
      </c>
      <c r="N67" s="48">
        <f t="shared" si="5"/>
        <v>205000</v>
      </c>
      <c r="O67" s="28">
        <f t="shared" si="6"/>
        <v>247700</v>
      </c>
      <c r="P67" s="48">
        <f t="shared" si="0"/>
        <v>0</v>
      </c>
      <c r="Q67" s="523">
        <f t="shared" si="19"/>
        <v>0.14000000000000001</v>
      </c>
      <c r="R67" s="77">
        <v>20</v>
      </c>
      <c r="S67" s="82" t="s">
        <v>101</v>
      </c>
      <c r="T67" s="496">
        <f t="shared" si="17"/>
        <v>28700</v>
      </c>
      <c r="U67" s="31"/>
      <c r="V67" s="48">
        <f t="shared" si="7"/>
        <v>0</v>
      </c>
      <c r="W67" s="31"/>
      <c r="X67" s="48">
        <f t="shared" si="8"/>
        <v>0</v>
      </c>
      <c r="Y67" s="31"/>
      <c r="Z67" s="48">
        <f t="shared" si="9"/>
        <v>0</v>
      </c>
      <c r="AA67" s="31"/>
      <c r="AB67" s="48">
        <f t="shared" si="10"/>
        <v>0</v>
      </c>
      <c r="AC67" s="31">
        <v>0</v>
      </c>
      <c r="AD67" s="48">
        <f t="shared" si="11"/>
        <v>0</v>
      </c>
      <c r="AE67" s="48">
        <v>0</v>
      </c>
      <c r="AF67" s="48">
        <v>0</v>
      </c>
      <c r="AG67" s="48">
        <v>0</v>
      </c>
      <c r="AH67" s="48">
        <v>0</v>
      </c>
      <c r="AI67" s="48">
        <v>0</v>
      </c>
      <c r="AJ67" s="280">
        <v>0</v>
      </c>
      <c r="AK67" s="283">
        <f t="shared" si="12"/>
        <v>247700</v>
      </c>
      <c r="AL67" s="60">
        <v>0</v>
      </c>
      <c r="AM67" s="60">
        <v>0</v>
      </c>
      <c r="AN67" s="60">
        <f t="shared" si="15"/>
        <v>16760</v>
      </c>
      <c r="AO67" s="36">
        <f t="shared" si="1"/>
        <v>4211</v>
      </c>
      <c r="AP67" s="30">
        <v>0</v>
      </c>
      <c r="AQ67" s="36">
        <f t="shared" si="16"/>
        <v>0</v>
      </c>
      <c r="AR67" s="26">
        <f t="shared" si="2"/>
        <v>32421</v>
      </c>
      <c r="AS67" s="26">
        <v>0</v>
      </c>
      <c r="AT67" s="26">
        <v>0</v>
      </c>
      <c r="AU67" s="26">
        <v>0</v>
      </c>
      <c r="AV67" s="67">
        <f t="shared" si="13"/>
        <v>53392</v>
      </c>
      <c r="AW67" s="278">
        <f t="shared" si="14"/>
        <v>194308</v>
      </c>
      <c r="AX67" s="67"/>
      <c r="AY67" s="67"/>
    </row>
    <row r="68" spans="1:51" ht="20.100000000000001" customHeight="1" x14ac:dyDescent="0.25">
      <c r="A68" s="21">
        <v>57</v>
      </c>
      <c r="B68" s="33" t="s">
        <v>232</v>
      </c>
      <c r="C68" s="532">
        <v>239800331</v>
      </c>
      <c r="D68" s="74" t="s">
        <v>140</v>
      </c>
      <c r="E68" s="313" t="s">
        <v>420</v>
      </c>
      <c r="F68" s="311" t="s">
        <v>385</v>
      </c>
      <c r="G68" s="76">
        <v>22</v>
      </c>
      <c r="H68" s="35">
        <v>0</v>
      </c>
      <c r="I68" s="35">
        <f t="shared" si="3"/>
        <v>0</v>
      </c>
      <c r="J68" s="77">
        <v>14000</v>
      </c>
      <c r="K68" s="48">
        <f t="shared" si="4"/>
        <v>14000</v>
      </c>
      <c r="L68" s="112"/>
      <c r="M68" s="486">
        <v>205000</v>
      </c>
      <c r="N68" s="48">
        <f t="shared" si="5"/>
        <v>205000</v>
      </c>
      <c r="O68" s="28">
        <f t="shared" si="6"/>
        <v>249750</v>
      </c>
      <c r="P68" s="48">
        <f t="shared" si="0"/>
        <v>0</v>
      </c>
      <c r="Q68" s="523">
        <f t="shared" si="19"/>
        <v>0.15000000000000002</v>
      </c>
      <c r="R68" s="77">
        <v>21</v>
      </c>
      <c r="S68" s="82" t="s">
        <v>102</v>
      </c>
      <c r="T68" s="496">
        <f t="shared" si="17"/>
        <v>30750</v>
      </c>
      <c r="U68" s="31"/>
      <c r="V68" s="48">
        <f t="shared" si="7"/>
        <v>0</v>
      </c>
      <c r="W68" s="31"/>
      <c r="X68" s="48">
        <f t="shared" si="8"/>
        <v>0</v>
      </c>
      <c r="Y68" s="31"/>
      <c r="Z68" s="48">
        <f t="shared" si="9"/>
        <v>0</v>
      </c>
      <c r="AA68" s="31"/>
      <c r="AB68" s="48">
        <f t="shared" si="10"/>
        <v>0</v>
      </c>
      <c r="AC68" s="31">
        <v>0</v>
      </c>
      <c r="AD68" s="48">
        <f t="shared" si="11"/>
        <v>0</v>
      </c>
      <c r="AE68" s="48">
        <v>0</v>
      </c>
      <c r="AF68" s="48">
        <v>0</v>
      </c>
      <c r="AG68" s="48">
        <v>0</v>
      </c>
      <c r="AH68" s="48">
        <v>0</v>
      </c>
      <c r="AI68" s="48">
        <v>0</v>
      </c>
      <c r="AJ68" s="280">
        <v>0</v>
      </c>
      <c r="AK68" s="283">
        <f t="shared" si="12"/>
        <v>249750</v>
      </c>
      <c r="AL68" s="60">
        <v>0</v>
      </c>
      <c r="AM68" s="60">
        <v>0</v>
      </c>
      <c r="AN68" s="60">
        <f t="shared" si="15"/>
        <v>16760</v>
      </c>
      <c r="AO68" s="36">
        <f t="shared" si="1"/>
        <v>4246</v>
      </c>
      <c r="AP68" s="30">
        <v>0</v>
      </c>
      <c r="AQ68" s="36">
        <f t="shared" si="16"/>
        <v>0</v>
      </c>
      <c r="AR68" s="26">
        <f t="shared" si="2"/>
        <v>32893</v>
      </c>
      <c r="AS68" s="26">
        <v>0</v>
      </c>
      <c r="AT68" s="26">
        <v>0</v>
      </c>
      <c r="AU68" s="26">
        <v>0</v>
      </c>
      <c r="AV68" s="67">
        <f t="shared" si="13"/>
        <v>53899</v>
      </c>
      <c r="AW68" s="278">
        <f t="shared" si="14"/>
        <v>195851</v>
      </c>
      <c r="AX68" s="67"/>
      <c r="AY68" s="67"/>
    </row>
    <row r="69" spans="1:51" ht="20.100000000000001" customHeight="1" x14ac:dyDescent="0.25">
      <c r="A69" s="21">
        <v>58</v>
      </c>
      <c r="B69" s="33" t="s">
        <v>233</v>
      </c>
      <c r="C69" s="532">
        <v>622088548</v>
      </c>
      <c r="D69" s="74" t="s">
        <v>327</v>
      </c>
      <c r="E69" s="313" t="s">
        <v>421</v>
      </c>
      <c r="F69" s="311" t="s">
        <v>385</v>
      </c>
      <c r="G69" s="76">
        <v>22</v>
      </c>
      <c r="H69" s="35">
        <v>0</v>
      </c>
      <c r="I69" s="35">
        <f t="shared" si="3"/>
        <v>0</v>
      </c>
      <c r="J69" s="77">
        <v>14000</v>
      </c>
      <c r="K69" s="48">
        <f t="shared" si="4"/>
        <v>14000</v>
      </c>
      <c r="L69" s="112"/>
      <c r="M69" s="486">
        <v>205000</v>
      </c>
      <c r="N69" s="48">
        <f t="shared" si="5"/>
        <v>205000</v>
      </c>
      <c r="O69" s="28">
        <f t="shared" si="6"/>
        <v>251800</v>
      </c>
      <c r="P69" s="48">
        <f t="shared" si="0"/>
        <v>0</v>
      </c>
      <c r="Q69" s="523">
        <f t="shared" si="19"/>
        <v>0.16</v>
      </c>
      <c r="R69" s="77">
        <v>22</v>
      </c>
      <c r="S69" s="82" t="s">
        <v>103</v>
      </c>
      <c r="T69" s="496">
        <f t="shared" si="17"/>
        <v>32800</v>
      </c>
      <c r="U69" s="31"/>
      <c r="V69" s="48">
        <f t="shared" si="7"/>
        <v>0</v>
      </c>
      <c r="W69" s="31"/>
      <c r="X69" s="48">
        <f t="shared" si="8"/>
        <v>0</v>
      </c>
      <c r="Y69" s="31"/>
      <c r="Z69" s="48">
        <f t="shared" si="9"/>
        <v>0</v>
      </c>
      <c r="AA69" s="31"/>
      <c r="AB69" s="48">
        <f t="shared" si="10"/>
        <v>0</v>
      </c>
      <c r="AC69" s="31">
        <v>0</v>
      </c>
      <c r="AD69" s="48">
        <f t="shared" si="11"/>
        <v>0</v>
      </c>
      <c r="AE69" s="48">
        <v>0</v>
      </c>
      <c r="AF69" s="48">
        <v>0</v>
      </c>
      <c r="AG69" s="48">
        <v>0</v>
      </c>
      <c r="AH69" s="48">
        <v>0</v>
      </c>
      <c r="AI69" s="48">
        <v>0</v>
      </c>
      <c r="AJ69" s="280">
        <v>0</v>
      </c>
      <c r="AK69" s="283">
        <f t="shared" si="12"/>
        <v>251800</v>
      </c>
      <c r="AL69" s="60">
        <v>0</v>
      </c>
      <c r="AM69" s="60">
        <v>0</v>
      </c>
      <c r="AN69" s="60">
        <f t="shared" si="15"/>
        <v>16760</v>
      </c>
      <c r="AO69" s="36">
        <f t="shared" si="1"/>
        <v>4281</v>
      </c>
      <c r="AP69" s="30">
        <v>0</v>
      </c>
      <c r="AQ69" s="36">
        <f t="shared" si="16"/>
        <v>0</v>
      </c>
      <c r="AR69" s="26">
        <f t="shared" si="2"/>
        <v>33364</v>
      </c>
      <c r="AS69" s="26">
        <v>0</v>
      </c>
      <c r="AT69" s="26">
        <v>0</v>
      </c>
      <c r="AU69" s="26">
        <v>0</v>
      </c>
      <c r="AV69" s="67">
        <f t="shared" si="13"/>
        <v>54405</v>
      </c>
      <c r="AW69" s="278">
        <f t="shared" si="14"/>
        <v>197395</v>
      </c>
      <c r="AX69" s="67"/>
      <c r="AY69" s="67"/>
    </row>
    <row r="70" spans="1:51" ht="20.100000000000001" customHeight="1" x14ac:dyDescent="0.25">
      <c r="A70" s="21">
        <v>59</v>
      </c>
      <c r="B70" s="33" t="s">
        <v>234</v>
      </c>
      <c r="C70" s="532">
        <v>540210304</v>
      </c>
      <c r="D70" s="74" t="s">
        <v>330</v>
      </c>
      <c r="E70" s="313" t="s">
        <v>422</v>
      </c>
      <c r="F70" s="311" t="s">
        <v>385</v>
      </c>
      <c r="G70" s="76">
        <v>22</v>
      </c>
      <c r="H70" s="35">
        <v>0</v>
      </c>
      <c r="I70" s="35">
        <f t="shared" si="3"/>
        <v>0</v>
      </c>
      <c r="J70" s="77">
        <v>14000</v>
      </c>
      <c r="K70" s="48">
        <f t="shared" si="4"/>
        <v>14000</v>
      </c>
      <c r="L70" s="112"/>
      <c r="M70" s="486">
        <v>205000</v>
      </c>
      <c r="N70" s="48">
        <f t="shared" si="5"/>
        <v>205000</v>
      </c>
      <c r="O70" s="28">
        <f t="shared" si="6"/>
        <v>253850</v>
      </c>
      <c r="P70" s="48">
        <f t="shared" si="0"/>
        <v>0</v>
      </c>
      <c r="Q70" s="523">
        <f t="shared" si="19"/>
        <v>0.17</v>
      </c>
      <c r="R70" s="77">
        <v>23</v>
      </c>
      <c r="S70" s="82" t="s">
        <v>118</v>
      </c>
      <c r="T70" s="496">
        <f t="shared" si="17"/>
        <v>34850</v>
      </c>
      <c r="U70" s="31"/>
      <c r="V70" s="48">
        <f t="shared" si="7"/>
        <v>0</v>
      </c>
      <c r="W70" s="31"/>
      <c r="X70" s="48">
        <f t="shared" si="8"/>
        <v>0</v>
      </c>
      <c r="Y70" s="31"/>
      <c r="Z70" s="48">
        <f t="shared" si="9"/>
        <v>0</v>
      </c>
      <c r="AA70" s="31"/>
      <c r="AB70" s="48">
        <f t="shared" si="10"/>
        <v>0</v>
      </c>
      <c r="AC70" s="31">
        <v>0</v>
      </c>
      <c r="AD70" s="48">
        <f t="shared" si="11"/>
        <v>0</v>
      </c>
      <c r="AE70" s="48">
        <v>0</v>
      </c>
      <c r="AF70" s="48">
        <v>0</v>
      </c>
      <c r="AG70" s="48">
        <v>0</v>
      </c>
      <c r="AH70" s="48">
        <v>0</v>
      </c>
      <c r="AI70" s="48">
        <v>0</v>
      </c>
      <c r="AJ70" s="280">
        <v>0</v>
      </c>
      <c r="AK70" s="283">
        <f t="shared" si="12"/>
        <v>253850</v>
      </c>
      <c r="AL70" s="60">
        <v>0</v>
      </c>
      <c r="AM70" s="60">
        <v>0</v>
      </c>
      <c r="AN70" s="60">
        <f t="shared" si="15"/>
        <v>16760</v>
      </c>
      <c r="AO70" s="36">
        <f t="shared" si="1"/>
        <v>4315</v>
      </c>
      <c r="AP70" s="30">
        <v>0</v>
      </c>
      <c r="AQ70" s="36">
        <f t="shared" si="16"/>
        <v>0</v>
      </c>
      <c r="AR70" s="26">
        <f t="shared" si="2"/>
        <v>33836</v>
      </c>
      <c r="AS70" s="26">
        <v>0</v>
      </c>
      <c r="AT70" s="26">
        <v>0</v>
      </c>
      <c r="AU70" s="26">
        <v>0</v>
      </c>
      <c r="AV70" s="67">
        <f t="shared" si="13"/>
        <v>54911</v>
      </c>
      <c r="AW70" s="278">
        <f t="shared" si="14"/>
        <v>198939</v>
      </c>
      <c r="AX70" s="67"/>
      <c r="AY70" s="67"/>
    </row>
    <row r="71" spans="1:51" ht="20.100000000000001" customHeight="1" x14ac:dyDescent="0.25">
      <c r="A71" s="21">
        <v>60</v>
      </c>
      <c r="B71" s="33" t="s">
        <v>235</v>
      </c>
      <c r="C71" s="532">
        <v>121293087</v>
      </c>
      <c r="D71" s="74" t="s">
        <v>137</v>
      </c>
      <c r="E71" s="313" t="s">
        <v>423</v>
      </c>
      <c r="F71" s="311" t="s">
        <v>385</v>
      </c>
      <c r="G71" s="76">
        <v>22</v>
      </c>
      <c r="H71" s="35">
        <v>0</v>
      </c>
      <c r="I71" s="35">
        <f t="shared" si="3"/>
        <v>0</v>
      </c>
      <c r="J71" s="77">
        <v>14000</v>
      </c>
      <c r="K71" s="48">
        <f t="shared" si="4"/>
        <v>14000</v>
      </c>
      <c r="L71" s="112"/>
      <c r="M71" s="486">
        <v>205000</v>
      </c>
      <c r="N71" s="48">
        <f t="shared" si="5"/>
        <v>205000</v>
      </c>
      <c r="O71" s="28">
        <f t="shared" si="6"/>
        <v>255900</v>
      </c>
      <c r="P71" s="48">
        <f t="shared" si="0"/>
        <v>0</v>
      </c>
      <c r="Q71" s="523">
        <f t="shared" si="19"/>
        <v>0.18000000000000002</v>
      </c>
      <c r="R71" s="77">
        <v>24</v>
      </c>
      <c r="S71" s="82" t="s">
        <v>119</v>
      </c>
      <c r="T71" s="496">
        <f t="shared" si="17"/>
        <v>36900</v>
      </c>
      <c r="U71" s="31"/>
      <c r="V71" s="48">
        <f t="shared" si="7"/>
        <v>0</v>
      </c>
      <c r="W71" s="31"/>
      <c r="X71" s="48">
        <f t="shared" si="8"/>
        <v>0</v>
      </c>
      <c r="Y71" s="31"/>
      <c r="Z71" s="48">
        <f t="shared" si="9"/>
        <v>0</v>
      </c>
      <c r="AA71" s="31"/>
      <c r="AB71" s="48">
        <f t="shared" si="10"/>
        <v>0</v>
      </c>
      <c r="AC71" s="31">
        <v>0</v>
      </c>
      <c r="AD71" s="48">
        <f t="shared" si="11"/>
        <v>0</v>
      </c>
      <c r="AE71" s="48">
        <v>0</v>
      </c>
      <c r="AF71" s="48">
        <v>0</v>
      </c>
      <c r="AG71" s="48">
        <v>0</v>
      </c>
      <c r="AH71" s="48">
        <v>0</v>
      </c>
      <c r="AI71" s="48">
        <v>0</v>
      </c>
      <c r="AJ71" s="280">
        <v>0</v>
      </c>
      <c r="AK71" s="283">
        <f t="shared" si="12"/>
        <v>255900</v>
      </c>
      <c r="AL71" s="60">
        <v>0</v>
      </c>
      <c r="AM71" s="60">
        <v>0</v>
      </c>
      <c r="AN71" s="60">
        <f t="shared" si="15"/>
        <v>16760</v>
      </c>
      <c r="AO71" s="36">
        <f t="shared" si="1"/>
        <v>4350</v>
      </c>
      <c r="AP71" s="30">
        <v>0</v>
      </c>
      <c r="AQ71" s="36">
        <f t="shared" si="16"/>
        <v>0</v>
      </c>
      <c r="AR71" s="26">
        <f t="shared" si="2"/>
        <v>34307</v>
      </c>
      <c r="AS71" s="26">
        <v>0</v>
      </c>
      <c r="AT71" s="26">
        <v>0</v>
      </c>
      <c r="AU71" s="26">
        <v>0</v>
      </c>
      <c r="AV71" s="67">
        <f t="shared" si="13"/>
        <v>55417</v>
      </c>
      <c r="AW71" s="278">
        <f t="shared" si="14"/>
        <v>200483</v>
      </c>
      <c r="AX71" s="67"/>
      <c r="AY71" s="67"/>
    </row>
    <row r="72" spans="1:51" ht="20.100000000000001" customHeight="1" thickBot="1" x14ac:dyDescent="0.3">
      <c r="A72" s="21">
        <v>61</v>
      </c>
      <c r="B72" s="33" t="s">
        <v>236</v>
      </c>
      <c r="C72" s="532">
        <v>429136476</v>
      </c>
      <c r="D72" s="74" t="s">
        <v>328</v>
      </c>
      <c r="E72" s="313" t="s">
        <v>424</v>
      </c>
      <c r="F72" s="482" t="s">
        <v>385</v>
      </c>
      <c r="G72" s="76">
        <v>22</v>
      </c>
      <c r="H72" s="35">
        <v>0</v>
      </c>
      <c r="I72" s="35">
        <f t="shared" si="3"/>
        <v>0</v>
      </c>
      <c r="J72" s="77">
        <v>14000</v>
      </c>
      <c r="K72" s="48">
        <f t="shared" si="4"/>
        <v>14000</v>
      </c>
      <c r="L72" s="112"/>
      <c r="M72" s="486">
        <v>205000</v>
      </c>
      <c r="N72" s="48">
        <f t="shared" si="5"/>
        <v>205000</v>
      </c>
      <c r="O72" s="28">
        <f t="shared" si="6"/>
        <v>257950</v>
      </c>
      <c r="P72" s="48">
        <f t="shared" si="0"/>
        <v>0</v>
      </c>
      <c r="Q72" s="523">
        <f t="shared" si="19"/>
        <v>0.19</v>
      </c>
      <c r="R72" s="77">
        <v>25</v>
      </c>
      <c r="S72" s="82" t="s">
        <v>95</v>
      </c>
      <c r="T72" s="496">
        <f t="shared" si="17"/>
        <v>38950</v>
      </c>
      <c r="U72" s="31"/>
      <c r="V72" s="48">
        <f t="shared" si="7"/>
        <v>0</v>
      </c>
      <c r="W72" s="31"/>
      <c r="X72" s="48">
        <f t="shared" si="8"/>
        <v>0</v>
      </c>
      <c r="Y72" s="31"/>
      <c r="Z72" s="48">
        <f t="shared" si="9"/>
        <v>0</v>
      </c>
      <c r="AA72" s="31"/>
      <c r="AB72" s="48">
        <f t="shared" si="10"/>
        <v>0</v>
      </c>
      <c r="AC72" s="31">
        <v>0</v>
      </c>
      <c r="AD72" s="48">
        <f t="shared" si="11"/>
        <v>0</v>
      </c>
      <c r="AE72" s="48">
        <v>0</v>
      </c>
      <c r="AF72" s="48">
        <v>0</v>
      </c>
      <c r="AG72" s="48">
        <v>0</v>
      </c>
      <c r="AH72" s="48">
        <v>0</v>
      </c>
      <c r="AI72" s="48">
        <v>0</v>
      </c>
      <c r="AJ72" s="280">
        <v>0</v>
      </c>
      <c r="AK72" s="283">
        <f t="shared" si="12"/>
        <v>257950</v>
      </c>
      <c r="AL72" s="60">
        <v>0</v>
      </c>
      <c r="AM72" s="60">
        <v>0</v>
      </c>
      <c r="AN72" s="60">
        <f t="shared" si="15"/>
        <v>16760</v>
      </c>
      <c r="AO72" s="36">
        <f t="shared" si="1"/>
        <v>4385</v>
      </c>
      <c r="AP72" s="30">
        <v>0</v>
      </c>
      <c r="AQ72" s="36">
        <f t="shared" si="16"/>
        <v>0</v>
      </c>
      <c r="AR72" s="26">
        <f t="shared" si="2"/>
        <v>34779</v>
      </c>
      <c r="AS72" s="26">
        <v>0</v>
      </c>
      <c r="AT72" s="26">
        <v>0</v>
      </c>
      <c r="AU72" s="26">
        <v>0</v>
      </c>
      <c r="AV72" s="67">
        <f t="shared" si="13"/>
        <v>55924</v>
      </c>
      <c r="AW72" s="278">
        <f t="shared" si="14"/>
        <v>202026</v>
      </c>
      <c r="AX72" s="67"/>
      <c r="AY72" s="67"/>
    </row>
    <row r="73" spans="1:51" ht="20.100000000000001" customHeight="1" x14ac:dyDescent="0.25">
      <c r="A73" s="21">
        <v>62</v>
      </c>
      <c r="B73" s="33" t="s">
        <v>237</v>
      </c>
      <c r="C73" s="532">
        <v>768749641</v>
      </c>
      <c r="D73" s="74" t="s">
        <v>329</v>
      </c>
      <c r="E73" s="313" t="s">
        <v>425</v>
      </c>
      <c r="F73" s="311" t="s">
        <v>386</v>
      </c>
      <c r="G73" s="76">
        <v>22</v>
      </c>
      <c r="H73" s="35">
        <v>0</v>
      </c>
      <c r="I73" s="35">
        <f t="shared" si="3"/>
        <v>0</v>
      </c>
      <c r="J73" s="77">
        <v>14000</v>
      </c>
      <c r="K73" s="48">
        <f t="shared" si="4"/>
        <v>14000</v>
      </c>
      <c r="L73" s="112"/>
      <c r="M73" s="486">
        <v>180000</v>
      </c>
      <c r="N73" s="48">
        <f t="shared" si="5"/>
        <v>180000</v>
      </c>
      <c r="O73" s="28">
        <f t="shared" si="6"/>
        <v>230000</v>
      </c>
      <c r="P73" s="48">
        <f t="shared" si="0"/>
        <v>0</v>
      </c>
      <c r="Q73" s="523">
        <f t="shared" si="19"/>
        <v>0.2</v>
      </c>
      <c r="R73" s="77">
        <v>26</v>
      </c>
      <c r="S73" s="82" t="s">
        <v>96</v>
      </c>
      <c r="T73" s="496">
        <f t="shared" si="17"/>
        <v>36000</v>
      </c>
      <c r="U73" s="31"/>
      <c r="V73" s="48">
        <f t="shared" si="7"/>
        <v>0</v>
      </c>
      <c r="W73" s="31"/>
      <c r="X73" s="48">
        <f t="shared" si="8"/>
        <v>0</v>
      </c>
      <c r="Y73" s="31"/>
      <c r="Z73" s="48">
        <f t="shared" si="9"/>
        <v>0</v>
      </c>
      <c r="AA73" s="31"/>
      <c r="AB73" s="48">
        <f t="shared" si="10"/>
        <v>0</v>
      </c>
      <c r="AC73" s="31">
        <v>0</v>
      </c>
      <c r="AD73" s="48">
        <f t="shared" si="11"/>
        <v>0</v>
      </c>
      <c r="AE73" s="48">
        <v>0</v>
      </c>
      <c r="AF73" s="48">
        <v>0</v>
      </c>
      <c r="AG73" s="48">
        <v>0</v>
      </c>
      <c r="AH73" s="48">
        <v>0</v>
      </c>
      <c r="AI73" s="48">
        <v>0</v>
      </c>
      <c r="AJ73" s="280">
        <v>0</v>
      </c>
      <c r="AK73" s="283">
        <f t="shared" si="12"/>
        <v>230000</v>
      </c>
      <c r="AL73" s="60">
        <v>0</v>
      </c>
      <c r="AM73" s="60">
        <v>0</v>
      </c>
      <c r="AN73" s="60">
        <f t="shared" si="15"/>
        <v>16760</v>
      </c>
      <c r="AO73" s="36">
        <f t="shared" si="1"/>
        <v>3910</v>
      </c>
      <c r="AP73" s="30">
        <v>0</v>
      </c>
      <c r="AQ73" s="36">
        <f t="shared" si="16"/>
        <v>0</v>
      </c>
      <c r="AR73" s="26">
        <f t="shared" si="2"/>
        <v>28350</v>
      </c>
      <c r="AS73" s="26">
        <v>0</v>
      </c>
      <c r="AT73" s="26">
        <v>0</v>
      </c>
      <c r="AU73" s="26">
        <v>0</v>
      </c>
      <c r="AV73" s="67">
        <f t="shared" si="13"/>
        <v>49020</v>
      </c>
      <c r="AW73" s="278">
        <f t="shared" si="14"/>
        <v>180980</v>
      </c>
      <c r="AX73" s="67"/>
      <c r="AY73" s="67"/>
    </row>
    <row r="74" spans="1:51" ht="20.100000000000001" customHeight="1" x14ac:dyDescent="0.25">
      <c r="A74" s="21">
        <v>63</v>
      </c>
      <c r="B74" s="33" t="s">
        <v>238</v>
      </c>
      <c r="C74" s="532">
        <v>379561303</v>
      </c>
      <c r="D74" s="74" t="s">
        <v>138</v>
      </c>
      <c r="E74" s="313" t="s">
        <v>426</v>
      </c>
      <c r="F74" s="311" t="s">
        <v>386</v>
      </c>
      <c r="G74" s="76">
        <v>22</v>
      </c>
      <c r="H74" s="35">
        <v>0</v>
      </c>
      <c r="I74" s="35">
        <f t="shared" si="3"/>
        <v>0</v>
      </c>
      <c r="J74" s="77">
        <v>14000</v>
      </c>
      <c r="K74" s="48">
        <f t="shared" si="4"/>
        <v>14000</v>
      </c>
      <c r="L74" s="112"/>
      <c r="M74" s="486">
        <v>180000</v>
      </c>
      <c r="N74" s="48">
        <f t="shared" si="5"/>
        <v>180000</v>
      </c>
      <c r="O74" s="28">
        <f t="shared" si="6"/>
        <v>231800</v>
      </c>
      <c r="P74" s="48">
        <f t="shared" si="0"/>
        <v>0</v>
      </c>
      <c r="Q74" s="523">
        <f t="shared" si="19"/>
        <v>0.21000000000000002</v>
      </c>
      <c r="R74" s="77">
        <v>27</v>
      </c>
      <c r="S74" s="82" t="s">
        <v>97</v>
      </c>
      <c r="T74" s="496">
        <f t="shared" si="17"/>
        <v>37800</v>
      </c>
      <c r="U74" s="31"/>
      <c r="V74" s="48">
        <f t="shared" si="7"/>
        <v>0</v>
      </c>
      <c r="W74" s="31"/>
      <c r="X74" s="48">
        <f t="shared" si="8"/>
        <v>0</v>
      </c>
      <c r="Y74" s="31"/>
      <c r="Z74" s="48">
        <f t="shared" si="9"/>
        <v>0</v>
      </c>
      <c r="AA74" s="31"/>
      <c r="AB74" s="48">
        <f t="shared" si="10"/>
        <v>0</v>
      </c>
      <c r="AC74" s="31">
        <v>0</v>
      </c>
      <c r="AD74" s="48">
        <f t="shared" si="11"/>
        <v>0</v>
      </c>
      <c r="AE74" s="48">
        <v>0</v>
      </c>
      <c r="AF74" s="48">
        <v>0</v>
      </c>
      <c r="AG74" s="48">
        <v>0</v>
      </c>
      <c r="AH74" s="48">
        <v>0</v>
      </c>
      <c r="AI74" s="48">
        <v>0</v>
      </c>
      <c r="AJ74" s="280">
        <v>0</v>
      </c>
      <c r="AK74" s="283">
        <f t="shared" si="12"/>
        <v>231800</v>
      </c>
      <c r="AL74" s="60">
        <v>0</v>
      </c>
      <c r="AM74" s="60">
        <v>0</v>
      </c>
      <c r="AN74" s="60">
        <f t="shared" si="15"/>
        <v>16760</v>
      </c>
      <c r="AO74" s="36">
        <f t="shared" ref="AO74:AO77" si="20">IF((AK74-AI74)&gt;min_s_shoqeror,ROUND((AK74-AI74)*s_shendetsor,0),min_s_shoqeror*s_shendetsor)</f>
        <v>3941</v>
      </c>
      <c r="AP74" s="30">
        <v>0</v>
      </c>
      <c r="AQ74" s="36">
        <f t="shared" si="16"/>
        <v>0</v>
      </c>
      <c r="AR74" s="26">
        <f t="shared" ref="AR74:AR107" si="21">ROUND(IF((AK74-AL74-AM74)&lt;=paga_50mije,0,IF((AK74-AL74-AM74)&lt;=paga_60mije,(AK74-AL74-AM74-paga_35mije)*tatimi_13,IF((AK74-AL74-AM74)&lt;=paga_200mije,(AK74-AL74-AM74-paga_30mije)*tatimi_13,(AK74-AL74-AM74-paga_200mije)*tatimi_23 +tatimi_fiks_deri200mije))),0)</f>
        <v>28764</v>
      </c>
      <c r="AS74" s="26">
        <v>0</v>
      </c>
      <c r="AT74" s="26">
        <v>0</v>
      </c>
      <c r="AU74" s="26">
        <v>0</v>
      </c>
      <c r="AV74" s="67">
        <f t="shared" si="13"/>
        <v>49465</v>
      </c>
      <c r="AW74" s="278">
        <f t="shared" si="14"/>
        <v>182335</v>
      </c>
      <c r="AX74" s="67"/>
      <c r="AY74" s="67"/>
    </row>
    <row r="75" spans="1:51" ht="20.100000000000001" customHeight="1" x14ac:dyDescent="0.25">
      <c r="A75" s="21">
        <v>64</v>
      </c>
      <c r="B75" s="33" t="s">
        <v>239</v>
      </c>
      <c r="C75" s="532">
        <v>626786150</v>
      </c>
      <c r="D75" s="74" t="s">
        <v>135</v>
      </c>
      <c r="E75" s="313" t="s">
        <v>429</v>
      </c>
      <c r="F75" s="311" t="s">
        <v>386</v>
      </c>
      <c r="G75" s="76">
        <v>22</v>
      </c>
      <c r="H75" s="35">
        <v>0</v>
      </c>
      <c r="I75" s="35">
        <f t="shared" si="3"/>
        <v>0</v>
      </c>
      <c r="J75" s="77">
        <v>14000</v>
      </c>
      <c r="K75" s="48">
        <f t="shared" si="4"/>
        <v>14000</v>
      </c>
      <c r="L75" s="112"/>
      <c r="M75" s="486">
        <v>180000</v>
      </c>
      <c r="N75" s="48">
        <f t="shared" si="5"/>
        <v>180000</v>
      </c>
      <c r="O75" s="28">
        <f t="shared" si="6"/>
        <v>233600</v>
      </c>
      <c r="P75" s="48">
        <f t="shared" si="0"/>
        <v>0</v>
      </c>
      <c r="Q75" s="523">
        <f t="shared" si="19"/>
        <v>0.22000000000000003</v>
      </c>
      <c r="R75" s="77">
        <v>28</v>
      </c>
      <c r="S75" s="82" t="s">
        <v>98</v>
      </c>
      <c r="T75" s="496">
        <f t="shared" ref="T75:T77" si="22">ROUND(N75*(Q75),0)</f>
        <v>39600</v>
      </c>
      <c r="U75" s="31"/>
      <c r="V75" s="48">
        <f t="shared" si="7"/>
        <v>0</v>
      </c>
      <c r="W75" s="31"/>
      <c r="X75" s="48">
        <f t="shared" si="8"/>
        <v>0</v>
      </c>
      <c r="Y75" s="31"/>
      <c r="Z75" s="48">
        <f t="shared" si="9"/>
        <v>0</v>
      </c>
      <c r="AA75" s="31"/>
      <c r="AB75" s="48">
        <f t="shared" si="10"/>
        <v>0</v>
      </c>
      <c r="AC75" s="31">
        <v>0</v>
      </c>
      <c r="AD75" s="48">
        <f t="shared" si="11"/>
        <v>0</v>
      </c>
      <c r="AE75" s="48">
        <v>0</v>
      </c>
      <c r="AF75" s="48">
        <v>0</v>
      </c>
      <c r="AG75" s="48">
        <v>0</v>
      </c>
      <c r="AH75" s="48">
        <v>0</v>
      </c>
      <c r="AI75" s="48">
        <v>0</v>
      </c>
      <c r="AJ75" s="280">
        <v>0</v>
      </c>
      <c r="AK75" s="283">
        <f t="shared" si="12"/>
        <v>233600</v>
      </c>
      <c r="AL75" s="60">
        <v>0</v>
      </c>
      <c r="AM75" s="60">
        <v>0</v>
      </c>
      <c r="AN75" s="60">
        <f t="shared" si="15"/>
        <v>16760</v>
      </c>
      <c r="AO75" s="36">
        <f t="shared" si="20"/>
        <v>3971</v>
      </c>
      <c r="AP75" s="30">
        <v>0</v>
      </c>
      <c r="AQ75" s="36">
        <f t="shared" si="16"/>
        <v>0</v>
      </c>
      <c r="AR75" s="26">
        <f t="shared" si="21"/>
        <v>29178</v>
      </c>
      <c r="AS75" s="26">
        <v>0</v>
      </c>
      <c r="AT75" s="26">
        <v>0</v>
      </c>
      <c r="AU75" s="26">
        <v>0</v>
      </c>
      <c r="AV75" s="67">
        <f t="shared" si="13"/>
        <v>49909</v>
      </c>
      <c r="AW75" s="278">
        <f t="shared" si="14"/>
        <v>183691</v>
      </c>
      <c r="AX75" s="67"/>
      <c r="AY75" s="67"/>
    </row>
    <row r="76" spans="1:51" ht="20.100000000000001" customHeight="1" x14ac:dyDescent="0.25">
      <c r="A76" s="21">
        <v>65</v>
      </c>
      <c r="B76" s="33" t="s">
        <v>240</v>
      </c>
      <c r="C76" s="532">
        <v>506443680</v>
      </c>
      <c r="D76" s="74" t="s">
        <v>136</v>
      </c>
      <c r="E76" s="313" t="s">
        <v>430</v>
      </c>
      <c r="F76" s="311" t="s">
        <v>386</v>
      </c>
      <c r="G76" s="76">
        <v>22</v>
      </c>
      <c r="H76" s="35">
        <v>0</v>
      </c>
      <c r="I76" s="35">
        <f t="shared" si="3"/>
        <v>0</v>
      </c>
      <c r="J76" s="77">
        <v>14000</v>
      </c>
      <c r="K76" s="48">
        <f t="shared" si="4"/>
        <v>14000</v>
      </c>
      <c r="L76" s="112"/>
      <c r="M76" s="486">
        <v>180000</v>
      </c>
      <c r="N76" s="48">
        <f t="shared" si="5"/>
        <v>180000</v>
      </c>
      <c r="O76" s="28">
        <f t="shared" si="6"/>
        <v>235400</v>
      </c>
      <c r="P76" s="48">
        <f t="shared" ref="P76:P99" si="23">ROUND(O76*(H76/G76)*raport_mjekesor,0)</f>
        <v>0</v>
      </c>
      <c r="Q76" s="523">
        <f t="shared" si="19"/>
        <v>0.23</v>
      </c>
      <c r="R76" s="77">
        <v>29</v>
      </c>
      <c r="S76" s="82" t="s">
        <v>99</v>
      </c>
      <c r="T76" s="496">
        <f t="shared" si="22"/>
        <v>41400</v>
      </c>
      <c r="U76" s="31"/>
      <c r="V76" s="48">
        <f t="shared" si="7"/>
        <v>0</v>
      </c>
      <c r="W76" s="31"/>
      <c r="X76" s="48">
        <f t="shared" si="8"/>
        <v>0</v>
      </c>
      <c r="Y76" s="31"/>
      <c r="Z76" s="48">
        <f t="shared" si="9"/>
        <v>0</v>
      </c>
      <c r="AA76" s="31"/>
      <c r="AB76" s="48">
        <f t="shared" si="10"/>
        <v>0</v>
      </c>
      <c r="AC76" s="31">
        <v>0</v>
      </c>
      <c r="AD76" s="48">
        <f t="shared" si="11"/>
        <v>0</v>
      </c>
      <c r="AE76" s="48">
        <v>0</v>
      </c>
      <c r="AF76" s="48">
        <v>0</v>
      </c>
      <c r="AG76" s="48">
        <v>0</v>
      </c>
      <c r="AH76" s="48">
        <v>0</v>
      </c>
      <c r="AI76" s="48">
        <v>0</v>
      </c>
      <c r="AJ76" s="280">
        <v>0</v>
      </c>
      <c r="AK76" s="283">
        <f t="shared" si="12"/>
        <v>235400</v>
      </c>
      <c r="AL76" s="60">
        <v>0</v>
      </c>
      <c r="AM76" s="60">
        <v>0</v>
      </c>
      <c r="AN76" s="60">
        <f t="shared" si="15"/>
        <v>16760</v>
      </c>
      <c r="AO76" s="36">
        <f t="shared" si="20"/>
        <v>4002</v>
      </c>
      <c r="AP76" s="30">
        <v>0</v>
      </c>
      <c r="AQ76" s="36">
        <f t="shared" si="16"/>
        <v>0</v>
      </c>
      <c r="AR76" s="26">
        <f t="shared" si="21"/>
        <v>29592</v>
      </c>
      <c r="AS76" s="26">
        <v>0</v>
      </c>
      <c r="AT76" s="26">
        <v>0</v>
      </c>
      <c r="AU76" s="26">
        <v>0</v>
      </c>
      <c r="AV76" s="67">
        <f t="shared" si="13"/>
        <v>50354</v>
      </c>
      <c r="AW76" s="278">
        <f t="shared" si="14"/>
        <v>185046</v>
      </c>
      <c r="AX76" s="67"/>
      <c r="AY76" s="67"/>
    </row>
    <row r="77" spans="1:51" ht="20.100000000000001" customHeight="1" x14ac:dyDescent="0.25">
      <c r="A77" s="21">
        <v>66</v>
      </c>
      <c r="B77" s="33" t="s">
        <v>241</v>
      </c>
      <c r="C77" s="532">
        <v>304266564</v>
      </c>
      <c r="D77" s="74" t="s">
        <v>141</v>
      </c>
      <c r="E77" s="313" t="s">
        <v>431</v>
      </c>
      <c r="F77" s="311" t="s">
        <v>386</v>
      </c>
      <c r="G77" s="76">
        <v>22</v>
      </c>
      <c r="H77" s="35">
        <v>0</v>
      </c>
      <c r="I77" s="35">
        <f t="shared" ref="I77:I99" si="24">IF(22-(G77+H77)&lt;0,"KUJDES",22-(G77+H77))</f>
        <v>0</v>
      </c>
      <c r="J77" s="77">
        <v>14000</v>
      </c>
      <c r="K77" s="48">
        <f t="shared" ref="K77:K99" si="25">ROUND(J77*(G77/22),0)</f>
        <v>14000</v>
      </c>
      <c r="L77" s="112"/>
      <c r="M77" s="486">
        <v>180000</v>
      </c>
      <c r="N77" s="48">
        <f t="shared" ref="N77:N99" si="26">ROUND(M77*(G77/22),0)</f>
        <v>180000</v>
      </c>
      <c r="O77" s="28">
        <f t="shared" ref="O77:O99" si="27">IF(22-(G77+H77)&lt;0,"GABIM",K77+N77+T77+V77+X77+Z77+AB77+AD77)</f>
        <v>237200</v>
      </c>
      <c r="P77" s="48">
        <f t="shared" si="23"/>
        <v>0</v>
      </c>
      <c r="Q77" s="523">
        <f t="shared" si="19"/>
        <v>0.24000000000000002</v>
      </c>
      <c r="R77" s="77">
        <v>30</v>
      </c>
      <c r="S77" s="82" t="s">
        <v>100</v>
      </c>
      <c r="T77" s="496">
        <f t="shared" si="22"/>
        <v>43200</v>
      </c>
      <c r="U77" s="31"/>
      <c r="V77" s="48">
        <f t="shared" ref="V77:V99" si="28">ROUND(U77*(G77/22),0)</f>
        <v>0</v>
      </c>
      <c r="W77" s="31"/>
      <c r="X77" s="48">
        <f t="shared" ref="X77:X99" si="29">ROUND(W77*(G77/22),0)</f>
        <v>0</v>
      </c>
      <c r="Y77" s="31"/>
      <c r="Z77" s="48">
        <f t="shared" ref="Z77:Z99" si="30">ROUND(Y77*(G77/22),0)</f>
        <v>0</v>
      </c>
      <c r="AA77" s="31"/>
      <c r="AB77" s="48">
        <f t="shared" ref="AB77:AB99" si="31">ROUND(AA77*(G77/22),0)</f>
        <v>0</v>
      </c>
      <c r="AC77" s="31">
        <v>0</v>
      </c>
      <c r="AD77" s="48">
        <f t="shared" ref="AD77:AD99" si="32">ROUND(AC77*(G77/22),0)</f>
        <v>0</v>
      </c>
      <c r="AE77" s="48">
        <v>0</v>
      </c>
      <c r="AF77" s="48">
        <v>0</v>
      </c>
      <c r="AG77" s="48">
        <v>0</v>
      </c>
      <c r="AH77" s="48">
        <v>0</v>
      </c>
      <c r="AI77" s="48">
        <v>0</v>
      </c>
      <c r="AJ77" s="280">
        <v>0</v>
      </c>
      <c r="AK77" s="283">
        <f t="shared" ref="AK77:AK107" si="33">K77+N77+P77+T77+V77+X77+Z77+AB77+AD77+AE77+AF77+AG77+AH77+AI77+AJ77</f>
        <v>237200</v>
      </c>
      <c r="AL77" s="60">
        <v>0</v>
      </c>
      <c r="AM77" s="60">
        <v>0</v>
      </c>
      <c r="AN77" s="60">
        <f t="shared" si="15"/>
        <v>16760</v>
      </c>
      <c r="AO77" s="36">
        <f t="shared" si="20"/>
        <v>4032</v>
      </c>
      <c r="AP77" s="30">
        <v>0</v>
      </c>
      <c r="AQ77" s="36">
        <f t="shared" si="16"/>
        <v>0</v>
      </c>
      <c r="AR77" s="26">
        <f t="shared" si="21"/>
        <v>30006</v>
      </c>
      <c r="AS77" s="26">
        <v>0</v>
      </c>
      <c r="AT77" s="26">
        <v>0</v>
      </c>
      <c r="AU77" s="26">
        <v>0</v>
      </c>
      <c r="AV77" s="67">
        <f t="shared" ref="AV77:AV99" si="34">ROUND(AN77+AO77+AQ77+AR77+AS77+AT77+AU77+AX77+AY77,0)</f>
        <v>50798</v>
      </c>
      <c r="AW77" s="278">
        <f t="shared" ref="AW77:AW107" si="35">AK77-AV77</f>
        <v>186402</v>
      </c>
      <c r="AX77" s="67"/>
      <c r="AY77" s="67"/>
    </row>
    <row r="78" spans="1:51" ht="32.1" customHeight="1" thickBot="1" x14ac:dyDescent="0.35">
      <c r="A78" s="501"/>
      <c r="B78" s="502"/>
      <c r="C78" s="533"/>
      <c r="D78" s="533"/>
      <c r="E78" s="504" t="s">
        <v>465</v>
      </c>
      <c r="F78" s="505"/>
      <c r="G78" s="506"/>
      <c r="H78" s="507"/>
      <c r="I78" s="507"/>
      <c r="J78" s="508"/>
      <c r="K78" s="509"/>
      <c r="L78" s="508"/>
      <c r="M78" s="508"/>
      <c r="N78" s="510"/>
      <c r="O78" s="503"/>
      <c r="P78" s="510"/>
      <c r="Q78" s="519" t="s">
        <v>479</v>
      </c>
      <c r="R78" s="508"/>
      <c r="S78" s="508"/>
      <c r="T78" s="519" t="s">
        <v>480</v>
      </c>
      <c r="U78" s="507"/>
      <c r="V78" s="510"/>
      <c r="W78" s="507"/>
      <c r="X78" s="510"/>
      <c r="Y78" s="507"/>
      <c r="Z78" s="510"/>
      <c r="AA78" s="507"/>
      <c r="AB78" s="510"/>
      <c r="AC78" s="507"/>
      <c r="AD78" s="511"/>
      <c r="AE78" s="511"/>
      <c r="AF78" s="511"/>
      <c r="AG78" s="511"/>
      <c r="AH78" s="511"/>
      <c r="AI78" s="510"/>
      <c r="AJ78" s="512"/>
      <c r="AK78" s="513"/>
      <c r="AL78" s="514"/>
      <c r="AM78" s="514"/>
      <c r="AN78" s="514"/>
      <c r="AO78" s="510"/>
      <c r="AP78" s="515"/>
      <c r="AQ78" s="510"/>
      <c r="AR78" s="510"/>
      <c r="AS78" s="516"/>
      <c r="AT78" s="516"/>
      <c r="AU78" s="516"/>
      <c r="AV78" s="517"/>
      <c r="AW78" s="518"/>
      <c r="AX78" s="517"/>
      <c r="AY78" s="517"/>
    </row>
    <row r="79" spans="1:51" ht="20.100000000000001" customHeight="1" x14ac:dyDescent="0.25">
      <c r="A79" s="32">
        <v>67</v>
      </c>
      <c r="B79" s="33" t="s">
        <v>242</v>
      </c>
      <c r="C79" s="532">
        <v>134945895</v>
      </c>
      <c r="D79" s="74" t="s">
        <v>139</v>
      </c>
      <c r="E79" s="312" t="s">
        <v>364</v>
      </c>
      <c r="F79" s="310" t="s">
        <v>134</v>
      </c>
      <c r="G79" s="75">
        <v>22</v>
      </c>
      <c r="H79" s="35">
        <v>0</v>
      </c>
      <c r="I79" s="35">
        <f t="shared" si="24"/>
        <v>0</v>
      </c>
      <c r="J79" s="77"/>
      <c r="K79" s="48">
        <f t="shared" si="25"/>
        <v>0</v>
      </c>
      <c r="L79" s="111"/>
      <c r="M79" s="485">
        <v>270937.5</v>
      </c>
      <c r="N79" s="48">
        <f t="shared" si="26"/>
        <v>270938</v>
      </c>
      <c r="O79" s="28">
        <f t="shared" si="27"/>
        <v>270938</v>
      </c>
      <c r="P79" s="48">
        <f t="shared" si="23"/>
        <v>0</v>
      </c>
      <c r="Q79" s="524"/>
      <c r="R79" s="77"/>
      <c r="S79" s="527"/>
      <c r="T79" s="525"/>
      <c r="U79" s="35"/>
      <c r="V79" s="48">
        <f t="shared" si="28"/>
        <v>0</v>
      </c>
      <c r="W79" s="35"/>
      <c r="X79" s="48">
        <f t="shared" si="29"/>
        <v>0</v>
      </c>
      <c r="Y79" s="35"/>
      <c r="Z79" s="48">
        <f t="shared" si="30"/>
        <v>0</v>
      </c>
      <c r="AA79" s="35"/>
      <c r="AB79" s="48">
        <f t="shared" si="31"/>
        <v>0</v>
      </c>
      <c r="AC79" s="35">
        <v>0</v>
      </c>
      <c r="AD79" s="48">
        <f t="shared" si="32"/>
        <v>0</v>
      </c>
      <c r="AE79" s="48">
        <v>0</v>
      </c>
      <c r="AF79" s="48">
        <v>0</v>
      </c>
      <c r="AG79" s="48">
        <v>0</v>
      </c>
      <c r="AH79" s="48">
        <v>0</v>
      </c>
      <c r="AI79" s="48">
        <v>0</v>
      </c>
      <c r="AJ79" s="280">
        <v>0</v>
      </c>
      <c r="AK79" s="283">
        <f t="shared" si="33"/>
        <v>270938</v>
      </c>
      <c r="AL79" s="60">
        <v>0</v>
      </c>
      <c r="AM79" s="60">
        <v>0</v>
      </c>
      <c r="AN79" s="60">
        <f t="shared" ref="AN79:AN99" si="36">ROUND(IF((AK79-AI79)&gt;max_s_shoqeror,(s_shoqeror*max_s_shoqeror),s_shoqeror*(AK79-AI79)),0)</f>
        <v>16760</v>
      </c>
      <c r="AO79" s="36">
        <f t="shared" ref="AO79:AO97" si="37">IF((AK79-AI79)&gt;min_s_shoqeror,ROUND((AK79-AI79)*s_shendetsor,0),min_s_shoqeror*s_shendetsor)</f>
        <v>4606</v>
      </c>
      <c r="AP79" s="29">
        <v>0</v>
      </c>
      <c r="AQ79" s="36">
        <f t="shared" ref="AQ79:AQ99" si="38">ROUND((AK79-AI79)*AP79,0)</f>
        <v>0</v>
      </c>
      <c r="AR79" s="26">
        <f t="shared" si="21"/>
        <v>37766</v>
      </c>
      <c r="AS79" s="36">
        <v>0</v>
      </c>
      <c r="AT79" s="36">
        <v>0</v>
      </c>
      <c r="AU79" s="36">
        <v>0</v>
      </c>
      <c r="AV79" s="66">
        <f t="shared" si="34"/>
        <v>59132</v>
      </c>
      <c r="AW79" s="277">
        <f t="shared" si="35"/>
        <v>211806</v>
      </c>
      <c r="AX79" s="66"/>
      <c r="AY79" s="66"/>
    </row>
    <row r="80" spans="1:51" ht="20.100000000000001" customHeight="1" x14ac:dyDescent="0.25">
      <c r="A80" s="21">
        <v>68</v>
      </c>
      <c r="B80" s="33" t="s">
        <v>243</v>
      </c>
      <c r="C80" s="532">
        <v>232252388</v>
      </c>
      <c r="D80" s="74" t="s">
        <v>140</v>
      </c>
      <c r="E80" s="313" t="s">
        <v>365</v>
      </c>
      <c r="F80" s="311" t="s">
        <v>134</v>
      </c>
      <c r="G80" s="76">
        <v>22</v>
      </c>
      <c r="H80" s="35">
        <v>0</v>
      </c>
      <c r="I80" s="35">
        <f t="shared" si="24"/>
        <v>0</v>
      </c>
      <c r="J80" s="77"/>
      <c r="K80" s="48">
        <f t="shared" si="25"/>
        <v>0</v>
      </c>
      <c r="L80" s="112"/>
      <c r="M80" s="486">
        <v>205000</v>
      </c>
      <c r="N80" s="48">
        <f t="shared" si="26"/>
        <v>205000</v>
      </c>
      <c r="O80" s="28">
        <f t="shared" si="27"/>
        <v>205000</v>
      </c>
      <c r="P80" s="48">
        <f t="shared" si="23"/>
        <v>0</v>
      </c>
      <c r="Q80" s="524"/>
      <c r="R80" s="77"/>
      <c r="S80" s="527"/>
      <c r="T80" s="525"/>
      <c r="U80" s="31"/>
      <c r="V80" s="48">
        <f t="shared" si="28"/>
        <v>0</v>
      </c>
      <c r="W80" s="31"/>
      <c r="X80" s="48">
        <f t="shared" si="29"/>
        <v>0</v>
      </c>
      <c r="Y80" s="31"/>
      <c r="Z80" s="48">
        <f t="shared" si="30"/>
        <v>0</v>
      </c>
      <c r="AA80" s="31"/>
      <c r="AB80" s="48">
        <f t="shared" si="31"/>
        <v>0</v>
      </c>
      <c r="AC80" s="31">
        <v>0</v>
      </c>
      <c r="AD80" s="48">
        <f t="shared" si="32"/>
        <v>0</v>
      </c>
      <c r="AE80" s="48">
        <v>0</v>
      </c>
      <c r="AF80" s="48">
        <v>0</v>
      </c>
      <c r="AG80" s="48">
        <v>0</v>
      </c>
      <c r="AH80" s="48">
        <v>0</v>
      </c>
      <c r="AI80" s="48">
        <v>0</v>
      </c>
      <c r="AJ80" s="280">
        <v>0</v>
      </c>
      <c r="AK80" s="283">
        <f t="shared" si="33"/>
        <v>205000</v>
      </c>
      <c r="AL80" s="60">
        <v>0</v>
      </c>
      <c r="AM80" s="60">
        <v>0</v>
      </c>
      <c r="AN80" s="60">
        <f t="shared" si="36"/>
        <v>16760</v>
      </c>
      <c r="AO80" s="36">
        <f t="shared" si="37"/>
        <v>3485</v>
      </c>
      <c r="AP80" s="30">
        <v>0</v>
      </c>
      <c r="AQ80" s="36">
        <f t="shared" si="38"/>
        <v>0</v>
      </c>
      <c r="AR80" s="26">
        <f t="shared" si="21"/>
        <v>22600</v>
      </c>
      <c r="AS80" s="26">
        <v>0</v>
      </c>
      <c r="AT80" s="26">
        <v>0</v>
      </c>
      <c r="AU80" s="26">
        <v>0</v>
      </c>
      <c r="AV80" s="67">
        <f t="shared" si="34"/>
        <v>42845</v>
      </c>
      <c r="AW80" s="278">
        <f t="shared" si="35"/>
        <v>162155</v>
      </c>
      <c r="AX80" s="67"/>
      <c r="AY80" s="67"/>
    </row>
    <row r="81" spans="1:51" ht="20.100000000000001" customHeight="1" thickBot="1" x14ac:dyDescent="0.3">
      <c r="A81" s="21">
        <v>69</v>
      </c>
      <c r="B81" s="33" t="s">
        <v>244</v>
      </c>
      <c r="C81" s="532">
        <v>359464468</v>
      </c>
      <c r="D81" s="74" t="s">
        <v>327</v>
      </c>
      <c r="E81" s="313" t="s">
        <v>366</v>
      </c>
      <c r="F81" s="482" t="s">
        <v>134</v>
      </c>
      <c r="G81" s="76">
        <v>22</v>
      </c>
      <c r="H81" s="35">
        <v>0</v>
      </c>
      <c r="I81" s="35">
        <f t="shared" si="24"/>
        <v>0</v>
      </c>
      <c r="J81" s="77"/>
      <c r="K81" s="48">
        <f t="shared" si="25"/>
        <v>0</v>
      </c>
      <c r="L81" s="112"/>
      <c r="M81" s="486">
        <v>170000</v>
      </c>
      <c r="N81" s="48">
        <f t="shared" si="26"/>
        <v>170000</v>
      </c>
      <c r="O81" s="28">
        <f t="shared" si="27"/>
        <v>170000</v>
      </c>
      <c r="P81" s="48">
        <f t="shared" si="23"/>
        <v>0</v>
      </c>
      <c r="Q81" s="524"/>
      <c r="R81" s="77"/>
      <c r="S81" s="527"/>
      <c r="T81" s="525"/>
      <c r="U81" s="31"/>
      <c r="V81" s="48">
        <f t="shared" si="28"/>
        <v>0</v>
      </c>
      <c r="W81" s="31"/>
      <c r="X81" s="48">
        <f t="shared" si="29"/>
        <v>0</v>
      </c>
      <c r="Y81" s="31"/>
      <c r="Z81" s="48">
        <f t="shared" si="30"/>
        <v>0</v>
      </c>
      <c r="AA81" s="31"/>
      <c r="AB81" s="48">
        <f t="shared" si="31"/>
        <v>0</v>
      </c>
      <c r="AC81" s="31">
        <v>0</v>
      </c>
      <c r="AD81" s="48">
        <f t="shared" si="32"/>
        <v>0</v>
      </c>
      <c r="AE81" s="48">
        <v>0</v>
      </c>
      <c r="AF81" s="48">
        <v>0</v>
      </c>
      <c r="AG81" s="48">
        <v>0</v>
      </c>
      <c r="AH81" s="48">
        <v>0</v>
      </c>
      <c r="AI81" s="48">
        <v>0</v>
      </c>
      <c r="AJ81" s="280">
        <v>0</v>
      </c>
      <c r="AK81" s="283">
        <f t="shared" si="33"/>
        <v>170000</v>
      </c>
      <c r="AL81" s="60">
        <v>0</v>
      </c>
      <c r="AM81" s="60">
        <v>0</v>
      </c>
      <c r="AN81" s="60">
        <f t="shared" si="36"/>
        <v>16150</v>
      </c>
      <c r="AO81" s="36">
        <f t="shared" si="37"/>
        <v>2890</v>
      </c>
      <c r="AP81" s="30">
        <v>0</v>
      </c>
      <c r="AQ81" s="36">
        <f t="shared" si="38"/>
        <v>0</v>
      </c>
      <c r="AR81" s="26">
        <f t="shared" si="21"/>
        <v>18200</v>
      </c>
      <c r="AS81" s="26">
        <v>0</v>
      </c>
      <c r="AT81" s="26">
        <v>0</v>
      </c>
      <c r="AU81" s="26">
        <v>0</v>
      </c>
      <c r="AV81" s="67">
        <f t="shared" si="34"/>
        <v>37240</v>
      </c>
      <c r="AW81" s="278">
        <f t="shared" si="35"/>
        <v>132760</v>
      </c>
      <c r="AX81" s="67"/>
      <c r="AY81" s="67"/>
    </row>
    <row r="82" spans="1:51" ht="20.100000000000001" customHeight="1" x14ac:dyDescent="0.25">
      <c r="A82" s="21">
        <v>70</v>
      </c>
      <c r="B82" s="33" t="s">
        <v>245</v>
      </c>
      <c r="C82" s="532">
        <v>965022395</v>
      </c>
      <c r="D82" s="74" t="s">
        <v>330</v>
      </c>
      <c r="E82" s="313" t="s">
        <v>367</v>
      </c>
      <c r="F82" s="528" t="s">
        <v>134</v>
      </c>
      <c r="G82" s="76">
        <v>22</v>
      </c>
      <c r="H82" s="35">
        <v>0</v>
      </c>
      <c r="I82" s="35">
        <f t="shared" si="24"/>
        <v>0</v>
      </c>
      <c r="J82" s="77"/>
      <c r="K82" s="48">
        <f t="shared" si="25"/>
        <v>0</v>
      </c>
      <c r="L82" s="112"/>
      <c r="M82" s="486">
        <v>90000</v>
      </c>
      <c r="N82" s="48">
        <f t="shared" si="26"/>
        <v>90000</v>
      </c>
      <c r="O82" s="28">
        <f t="shared" si="27"/>
        <v>90540</v>
      </c>
      <c r="P82" s="48">
        <f t="shared" si="23"/>
        <v>0</v>
      </c>
      <c r="Q82" s="523">
        <f t="shared" ref="Q82:Q89" si="39">IF(R82&lt;=10,R82*0.6%,IF(R82&lt;=20,6%+(R82-10)*0.8%,IF(R82&lt;=30,14%+(R82-20)*1%,24%)))</f>
        <v>6.0000000000000001E-3</v>
      </c>
      <c r="R82" s="77">
        <v>1</v>
      </c>
      <c r="S82" s="82" t="s">
        <v>103</v>
      </c>
      <c r="T82" s="496">
        <f t="shared" ref="T82:T89" si="40">ROUND(N82*(Q82),0)</f>
        <v>540</v>
      </c>
      <c r="U82" s="31"/>
      <c r="V82" s="48">
        <f t="shared" si="28"/>
        <v>0</v>
      </c>
      <c r="W82" s="31"/>
      <c r="X82" s="48">
        <f t="shared" si="29"/>
        <v>0</v>
      </c>
      <c r="Y82" s="31"/>
      <c r="Z82" s="48">
        <f t="shared" si="30"/>
        <v>0</v>
      </c>
      <c r="AA82" s="31"/>
      <c r="AB82" s="48">
        <f t="shared" si="31"/>
        <v>0</v>
      </c>
      <c r="AC82" s="31">
        <v>0</v>
      </c>
      <c r="AD82" s="48">
        <f t="shared" si="32"/>
        <v>0</v>
      </c>
      <c r="AE82" s="48">
        <v>0</v>
      </c>
      <c r="AF82" s="48">
        <v>0</v>
      </c>
      <c r="AG82" s="48">
        <v>0</v>
      </c>
      <c r="AH82" s="48">
        <v>0</v>
      </c>
      <c r="AI82" s="48">
        <v>0</v>
      </c>
      <c r="AJ82" s="280">
        <v>0</v>
      </c>
      <c r="AK82" s="283">
        <f t="shared" si="33"/>
        <v>90540</v>
      </c>
      <c r="AL82" s="60">
        <v>0</v>
      </c>
      <c r="AM82" s="60">
        <v>0</v>
      </c>
      <c r="AN82" s="60">
        <f t="shared" si="36"/>
        <v>8601</v>
      </c>
      <c r="AO82" s="36">
        <f t="shared" si="37"/>
        <v>1539</v>
      </c>
      <c r="AP82" s="30">
        <v>0</v>
      </c>
      <c r="AQ82" s="36">
        <f t="shared" si="38"/>
        <v>0</v>
      </c>
      <c r="AR82" s="26">
        <f t="shared" si="21"/>
        <v>7870</v>
      </c>
      <c r="AS82" s="26">
        <v>0</v>
      </c>
      <c r="AT82" s="26">
        <v>0</v>
      </c>
      <c r="AU82" s="26">
        <v>0</v>
      </c>
      <c r="AV82" s="67">
        <f t="shared" si="34"/>
        <v>18010</v>
      </c>
      <c r="AW82" s="278">
        <f t="shared" si="35"/>
        <v>72530</v>
      </c>
      <c r="AX82" s="67"/>
      <c r="AY82" s="67"/>
    </row>
    <row r="83" spans="1:51" ht="20.100000000000001" customHeight="1" x14ac:dyDescent="0.25">
      <c r="A83" s="21">
        <v>71</v>
      </c>
      <c r="B83" s="33" t="s">
        <v>246</v>
      </c>
      <c r="C83" s="532">
        <v>217976478</v>
      </c>
      <c r="D83" s="74" t="s">
        <v>137</v>
      </c>
      <c r="E83" s="313" t="s">
        <v>368</v>
      </c>
      <c r="F83" s="529" t="s">
        <v>134</v>
      </c>
      <c r="G83" s="76">
        <v>22</v>
      </c>
      <c r="H83" s="35">
        <v>0</v>
      </c>
      <c r="I83" s="35">
        <f t="shared" si="24"/>
        <v>0</v>
      </c>
      <c r="J83" s="77"/>
      <c r="K83" s="48">
        <f t="shared" si="25"/>
        <v>0</v>
      </c>
      <c r="L83" s="112"/>
      <c r="M83" s="486">
        <v>90000</v>
      </c>
      <c r="N83" s="48">
        <f t="shared" si="26"/>
        <v>90000</v>
      </c>
      <c r="O83" s="28">
        <f t="shared" si="27"/>
        <v>91080</v>
      </c>
      <c r="P83" s="48">
        <f t="shared" si="23"/>
        <v>0</v>
      </c>
      <c r="Q83" s="523">
        <f t="shared" si="39"/>
        <v>1.2E-2</v>
      </c>
      <c r="R83" s="77">
        <v>2</v>
      </c>
      <c r="S83" s="82" t="s">
        <v>118</v>
      </c>
      <c r="T83" s="496">
        <f t="shared" si="40"/>
        <v>1080</v>
      </c>
      <c r="U83" s="31"/>
      <c r="V83" s="48">
        <f t="shared" si="28"/>
        <v>0</v>
      </c>
      <c r="W83" s="31"/>
      <c r="X83" s="48">
        <f t="shared" si="29"/>
        <v>0</v>
      </c>
      <c r="Y83" s="31"/>
      <c r="Z83" s="48">
        <f t="shared" si="30"/>
        <v>0</v>
      </c>
      <c r="AA83" s="31"/>
      <c r="AB83" s="48">
        <f t="shared" si="31"/>
        <v>0</v>
      </c>
      <c r="AC83" s="31">
        <v>0</v>
      </c>
      <c r="AD83" s="48">
        <f t="shared" si="32"/>
        <v>0</v>
      </c>
      <c r="AE83" s="48">
        <v>0</v>
      </c>
      <c r="AF83" s="48">
        <v>0</v>
      </c>
      <c r="AG83" s="48">
        <v>0</v>
      </c>
      <c r="AH83" s="48">
        <v>0</v>
      </c>
      <c r="AI83" s="48">
        <v>0</v>
      </c>
      <c r="AJ83" s="280">
        <v>0</v>
      </c>
      <c r="AK83" s="283">
        <f t="shared" si="33"/>
        <v>91080</v>
      </c>
      <c r="AL83" s="60">
        <v>0</v>
      </c>
      <c r="AM83" s="60">
        <v>0</v>
      </c>
      <c r="AN83" s="60">
        <f t="shared" si="36"/>
        <v>8653</v>
      </c>
      <c r="AO83" s="36">
        <f t="shared" si="37"/>
        <v>1548</v>
      </c>
      <c r="AP83" s="30">
        <v>0</v>
      </c>
      <c r="AQ83" s="36">
        <f t="shared" si="38"/>
        <v>0</v>
      </c>
      <c r="AR83" s="26">
        <f t="shared" si="21"/>
        <v>7940</v>
      </c>
      <c r="AS83" s="26">
        <v>0</v>
      </c>
      <c r="AT83" s="26">
        <v>0</v>
      </c>
      <c r="AU83" s="26">
        <v>0</v>
      </c>
      <c r="AV83" s="67">
        <f t="shared" si="34"/>
        <v>18141</v>
      </c>
      <c r="AW83" s="278">
        <f t="shared" si="35"/>
        <v>72939</v>
      </c>
      <c r="AX83" s="67"/>
      <c r="AY83" s="67"/>
    </row>
    <row r="84" spans="1:51" ht="20.100000000000001" customHeight="1" x14ac:dyDescent="0.25">
      <c r="A84" s="21">
        <v>72</v>
      </c>
      <c r="B84" s="33" t="s">
        <v>247</v>
      </c>
      <c r="C84" s="532">
        <v>376277683</v>
      </c>
      <c r="D84" s="74" t="s">
        <v>328</v>
      </c>
      <c r="E84" s="313" t="s">
        <v>369</v>
      </c>
      <c r="F84" s="529" t="s">
        <v>134</v>
      </c>
      <c r="G84" s="76">
        <v>22</v>
      </c>
      <c r="H84" s="35">
        <v>0</v>
      </c>
      <c r="I84" s="35">
        <f t="shared" si="24"/>
        <v>0</v>
      </c>
      <c r="J84" s="77"/>
      <c r="K84" s="48">
        <f t="shared" si="25"/>
        <v>0</v>
      </c>
      <c r="L84" s="112"/>
      <c r="M84" s="486">
        <v>90000</v>
      </c>
      <c r="N84" s="48">
        <f t="shared" si="26"/>
        <v>90000</v>
      </c>
      <c r="O84" s="28">
        <f t="shared" si="27"/>
        <v>91620</v>
      </c>
      <c r="P84" s="48">
        <f t="shared" si="23"/>
        <v>0</v>
      </c>
      <c r="Q84" s="523">
        <f t="shared" si="39"/>
        <v>1.8000000000000002E-2</v>
      </c>
      <c r="R84" s="77">
        <v>3</v>
      </c>
      <c r="S84" s="82" t="s">
        <v>119</v>
      </c>
      <c r="T84" s="496">
        <f t="shared" si="40"/>
        <v>1620</v>
      </c>
      <c r="U84" s="31"/>
      <c r="V84" s="48">
        <f t="shared" si="28"/>
        <v>0</v>
      </c>
      <c r="W84" s="31"/>
      <c r="X84" s="48">
        <f t="shared" si="29"/>
        <v>0</v>
      </c>
      <c r="Y84" s="31"/>
      <c r="Z84" s="48">
        <f t="shared" si="30"/>
        <v>0</v>
      </c>
      <c r="AA84" s="31"/>
      <c r="AB84" s="48">
        <f t="shared" si="31"/>
        <v>0</v>
      </c>
      <c r="AC84" s="31">
        <v>0</v>
      </c>
      <c r="AD84" s="48">
        <f t="shared" si="32"/>
        <v>0</v>
      </c>
      <c r="AE84" s="48">
        <v>0</v>
      </c>
      <c r="AF84" s="48">
        <v>0</v>
      </c>
      <c r="AG84" s="48">
        <v>0</v>
      </c>
      <c r="AH84" s="48">
        <v>0</v>
      </c>
      <c r="AI84" s="48">
        <v>0</v>
      </c>
      <c r="AJ84" s="280">
        <v>0</v>
      </c>
      <c r="AK84" s="283">
        <f t="shared" si="33"/>
        <v>91620</v>
      </c>
      <c r="AL84" s="60">
        <v>0</v>
      </c>
      <c r="AM84" s="60">
        <v>0</v>
      </c>
      <c r="AN84" s="60">
        <f t="shared" si="36"/>
        <v>8704</v>
      </c>
      <c r="AO84" s="36">
        <f t="shared" si="37"/>
        <v>1558</v>
      </c>
      <c r="AP84" s="30">
        <v>0</v>
      </c>
      <c r="AQ84" s="36">
        <f t="shared" si="38"/>
        <v>0</v>
      </c>
      <c r="AR84" s="26">
        <f t="shared" si="21"/>
        <v>8011</v>
      </c>
      <c r="AS84" s="26">
        <v>0</v>
      </c>
      <c r="AT84" s="26">
        <v>0</v>
      </c>
      <c r="AU84" s="26">
        <v>0</v>
      </c>
      <c r="AV84" s="67">
        <f t="shared" si="34"/>
        <v>18273</v>
      </c>
      <c r="AW84" s="278">
        <f t="shared" si="35"/>
        <v>73347</v>
      </c>
      <c r="AX84" s="67"/>
      <c r="AY84" s="67"/>
    </row>
    <row r="85" spans="1:51" ht="20.100000000000001" customHeight="1" x14ac:dyDescent="0.25">
      <c r="A85" s="21">
        <v>73</v>
      </c>
      <c r="B85" s="33" t="s">
        <v>248</v>
      </c>
      <c r="C85" s="532">
        <v>239368361</v>
      </c>
      <c r="D85" s="74" t="s">
        <v>329</v>
      </c>
      <c r="E85" s="313" t="s">
        <v>370</v>
      </c>
      <c r="F85" s="529" t="s">
        <v>134</v>
      </c>
      <c r="G85" s="76">
        <v>22</v>
      </c>
      <c r="H85" s="35">
        <v>0</v>
      </c>
      <c r="I85" s="35">
        <f t="shared" si="24"/>
        <v>0</v>
      </c>
      <c r="J85" s="77"/>
      <c r="K85" s="48">
        <f t="shared" si="25"/>
        <v>0</v>
      </c>
      <c r="L85" s="112"/>
      <c r="M85" s="486">
        <v>90000</v>
      </c>
      <c r="N85" s="48">
        <f t="shared" si="26"/>
        <v>90000</v>
      </c>
      <c r="O85" s="28">
        <f t="shared" si="27"/>
        <v>92160</v>
      </c>
      <c r="P85" s="48">
        <f t="shared" si="23"/>
        <v>0</v>
      </c>
      <c r="Q85" s="523">
        <f t="shared" si="39"/>
        <v>2.4E-2</v>
      </c>
      <c r="R85" s="77">
        <v>4</v>
      </c>
      <c r="S85" s="82" t="s">
        <v>95</v>
      </c>
      <c r="T85" s="496">
        <f t="shared" si="40"/>
        <v>2160</v>
      </c>
      <c r="U85" s="31"/>
      <c r="V85" s="48">
        <f t="shared" si="28"/>
        <v>0</v>
      </c>
      <c r="W85" s="31"/>
      <c r="X85" s="48">
        <f t="shared" si="29"/>
        <v>0</v>
      </c>
      <c r="Y85" s="31"/>
      <c r="Z85" s="48">
        <f t="shared" si="30"/>
        <v>0</v>
      </c>
      <c r="AA85" s="31"/>
      <c r="AB85" s="48">
        <f t="shared" si="31"/>
        <v>0</v>
      </c>
      <c r="AC85" s="31">
        <v>0</v>
      </c>
      <c r="AD85" s="48">
        <f t="shared" si="32"/>
        <v>0</v>
      </c>
      <c r="AE85" s="48">
        <v>0</v>
      </c>
      <c r="AF85" s="48">
        <v>0</v>
      </c>
      <c r="AG85" s="48">
        <v>0</v>
      </c>
      <c r="AH85" s="48">
        <v>0</v>
      </c>
      <c r="AI85" s="48">
        <v>0</v>
      </c>
      <c r="AJ85" s="280">
        <v>0</v>
      </c>
      <c r="AK85" s="283">
        <f t="shared" si="33"/>
        <v>92160</v>
      </c>
      <c r="AL85" s="60">
        <v>0</v>
      </c>
      <c r="AM85" s="60">
        <v>0</v>
      </c>
      <c r="AN85" s="60">
        <f t="shared" si="36"/>
        <v>8755</v>
      </c>
      <c r="AO85" s="36">
        <f t="shared" si="37"/>
        <v>1567</v>
      </c>
      <c r="AP85" s="30">
        <v>0</v>
      </c>
      <c r="AQ85" s="36">
        <f t="shared" si="38"/>
        <v>0</v>
      </c>
      <c r="AR85" s="26">
        <f t="shared" si="21"/>
        <v>8081</v>
      </c>
      <c r="AS85" s="26">
        <v>0</v>
      </c>
      <c r="AT85" s="26">
        <v>0</v>
      </c>
      <c r="AU85" s="26">
        <v>0</v>
      </c>
      <c r="AV85" s="67">
        <f t="shared" si="34"/>
        <v>18403</v>
      </c>
      <c r="AW85" s="278">
        <f t="shared" si="35"/>
        <v>73757</v>
      </c>
      <c r="AX85" s="67"/>
      <c r="AY85" s="67"/>
    </row>
    <row r="86" spans="1:51" ht="20.100000000000001" customHeight="1" x14ac:dyDescent="0.25">
      <c r="A86" s="21">
        <v>74</v>
      </c>
      <c r="B86" s="33" t="s">
        <v>249</v>
      </c>
      <c r="C86" s="532">
        <v>769312475</v>
      </c>
      <c r="D86" s="74" t="s">
        <v>138</v>
      </c>
      <c r="E86" s="313" t="s">
        <v>371</v>
      </c>
      <c r="F86" s="529" t="s">
        <v>134</v>
      </c>
      <c r="G86" s="76">
        <v>22</v>
      </c>
      <c r="H86" s="35">
        <v>0</v>
      </c>
      <c r="I86" s="35">
        <f t="shared" si="24"/>
        <v>0</v>
      </c>
      <c r="J86" s="77"/>
      <c r="K86" s="48">
        <f t="shared" si="25"/>
        <v>0</v>
      </c>
      <c r="L86" s="112"/>
      <c r="M86" s="486">
        <v>90000</v>
      </c>
      <c r="N86" s="48">
        <f t="shared" si="26"/>
        <v>90000</v>
      </c>
      <c r="O86" s="28">
        <f t="shared" si="27"/>
        <v>92700</v>
      </c>
      <c r="P86" s="48">
        <f t="shared" si="23"/>
        <v>0</v>
      </c>
      <c r="Q86" s="523">
        <f t="shared" si="39"/>
        <v>0.03</v>
      </c>
      <c r="R86" s="77">
        <v>5</v>
      </c>
      <c r="S86" s="82" t="s">
        <v>96</v>
      </c>
      <c r="T86" s="496">
        <f t="shared" si="40"/>
        <v>2700</v>
      </c>
      <c r="U86" s="31"/>
      <c r="V86" s="48">
        <f t="shared" si="28"/>
        <v>0</v>
      </c>
      <c r="W86" s="31"/>
      <c r="X86" s="48">
        <f t="shared" si="29"/>
        <v>0</v>
      </c>
      <c r="Y86" s="31"/>
      <c r="Z86" s="48">
        <f t="shared" si="30"/>
        <v>0</v>
      </c>
      <c r="AA86" s="31"/>
      <c r="AB86" s="48">
        <f t="shared" si="31"/>
        <v>0</v>
      </c>
      <c r="AC86" s="31">
        <v>0</v>
      </c>
      <c r="AD86" s="48">
        <f t="shared" si="32"/>
        <v>0</v>
      </c>
      <c r="AE86" s="48">
        <v>0</v>
      </c>
      <c r="AF86" s="48">
        <v>0</v>
      </c>
      <c r="AG86" s="48">
        <v>0</v>
      </c>
      <c r="AH86" s="48">
        <v>0</v>
      </c>
      <c r="AI86" s="48">
        <v>0</v>
      </c>
      <c r="AJ86" s="280">
        <v>0</v>
      </c>
      <c r="AK86" s="283">
        <f t="shared" si="33"/>
        <v>92700</v>
      </c>
      <c r="AL86" s="60">
        <v>0</v>
      </c>
      <c r="AM86" s="60">
        <v>0</v>
      </c>
      <c r="AN86" s="60">
        <f t="shared" si="36"/>
        <v>8807</v>
      </c>
      <c r="AO86" s="36">
        <f t="shared" si="37"/>
        <v>1576</v>
      </c>
      <c r="AP86" s="30">
        <v>0</v>
      </c>
      <c r="AQ86" s="36">
        <f t="shared" si="38"/>
        <v>0</v>
      </c>
      <c r="AR86" s="26">
        <f t="shared" si="21"/>
        <v>8151</v>
      </c>
      <c r="AS86" s="26">
        <v>0</v>
      </c>
      <c r="AT86" s="26">
        <v>0</v>
      </c>
      <c r="AU86" s="26">
        <v>0</v>
      </c>
      <c r="AV86" s="67">
        <f t="shared" si="34"/>
        <v>18534</v>
      </c>
      <c r="AW86" s="278">
        <f t="shared" si="35"/>
        <v>74166</v>
      </c>
      <c r="AX86" s="67"/>
      <c r="AY86" s="67"/>
    </row>
    <row r="87" spans="1:51" ht="20.100000000000001" customHeight="1" x14ac:dyDescent="0.25">
      <c r="A87" s="21">
        <v>75</v>
      </c>
      <c r="B87" s="33" t="s">
        <v>250</v>
      </c>
      <c r="C87" s="532">
        <v>524785105</v>
      </c>
      <c r="D87" s="74" t="s">
        <v>135</v>
      </c>
      <c r="E87" s="313" t="s">
        <v>372</v>
      </c>
      <c r="F87" s="529" t="s">
        <v>134</v>
      </c>
      <c r="G87" s="76">
        <v>22</v>
      </c>
      <c r="H87" s="35">
        <v>0</v>
      </c>
      <c r="I87" s="35">
        <f t="shared" si="24"/>
        <v>0</v>
      </c>
      <c r="J87" s="77"/>
      <c r="K87" s="48">
        <f t="shared" si="25"/>
        <v>0</v>
      </c>
      <c r="L87" s="112"/>
      <c r="M87" s="486">
        <v>90000</v>
      </c>
      <c r="N87" s="48">
        <f t="shared" si="26"/>
        <v>90000</v>
      </c>
      <c r="O87" s="28">
        <f t="shared" si="27"/>
        <v>93240</v>
      </c>
      <c r="P87" s="48">
        <f t="shared" si="23"/>
        <v>0</v>
      </c>
      <c r="Q87" s="523">
        <f t="shared" si="39"/>
        <v>3.6000000000000004E-2</v>
      </c>
      <c r="R87" s="77">
        <v>6</v>
      </c>
      <c r="S87" s="82" t="s">
        <v>97</v>
      </c>
      <c r="T87" s="496">
        <f t="shared" si="40"/>
        <v>3240</v>
      </c>
      <c r="U87" s="31"/>
      <c r="V87" s="48">
        <f t="shared" si="28"/>
        <v>0</v>
      </c>
      <c r="W87" s="31"/>
      <c r="X87" s="48">
        <f t="shared" si="29"/>
        <v>0</v>
      </c>
      <c r="Y87" s="31"/>
      <c r="Z87" s="48">
        <f t="shared" si="30"/>
        <v>0</v>
      </c>
      <c r="AA87" s="31"/>
      <c r="AB87" s="48">
        <f t="shared" si="31"/>
        <v>0</v>
      </c>
      <c r="AC87" s="31">
        <v>0</v>
      </c>
      <c r="AD87" s="48">
        <f t="shared" si="32"/>
        <v>0</v>
      </c>
      <c r="AE87" s="48">
        <v>0</v>
      </c>
      <c r="AF87" s="48">
        <v>0</v>
      </c>
      <c r="AG87" s="48">
        <v>0</v>
      </c>
      <c r="AH87" s="48">
        <v>0</v>
      </c>
      <c r="AI87" s="48">
        <v>0</v>
      </c>
      <c r="AJ87" s="280">
        <v>0</v>
      </c>
      <c r="AK87" s="283">
        <f t="shared" si="33"/>
        <v>93240</v>
      </c>
      <c r="AL87" s="60">
        <v>0</v>
      </c>
      <c r="AM87" s="60">
        <v>0</v>
      </c>
      <c r="AN87" s="60">
        <f t="shared" si="36"/>
        <v>8858</v>
      </c>
      <c r="AO87" s="36">
        <f t="shared" si="37"/>
        <v>1585</v>
      </c>
      <c r="AP87" s="30">
        <v>0</v>
      </c>
      <c r="AQ87" s="36">
        <f t="shared" si="38"/>
        <v>0</v>
      </c>
      <c r="AR87" s="26">
        <f t="shared" si="21"/>
        <v>8221</v>
      </c>
      <c r="AS87" s="26">
        <v>0</v>
      </c>
      <c r="AT87" s="26">
        <v>0</v>
      </c>
      <c r="AU87" s="26">
        <v>0</v>
      </c>
      <c r="AV87" s="67">
        <f t="shared" si="34"/>
        <v>18664</v>
      </c>
      <c r="AW87" s="278">
        <f t="shared" si="35"/>
        <v>74576</v>
      </c>
      <c r="AX87" s="67"/>
      <c r="AY87" s="67"/>
    </row>
    <row r="88" spans="1:51" ht="20.100000000000001" customHeight="1" x14ac:dyDescent="0.25">
      <c r="A88" s="21">
        <v>76</v>
      </c>
      <c r="B88" s="33" t="s">
        <v>251</v>
      </c>
      <c r="C88" s="532">
        <v>144725944</v>
      </c>
      <c r="D88" s="74" t="s">
        <v>136</v>
      </c>
      <c r="E88" s="313" t="s">
        <v>373</v>
      </c>
      <c r="F88" s="529" t="s">
        <v>134</v>
      </c>
      <c r="G88" s="76">
        <v>22</v>
      </c>
      <c r="H88" s="35">
        <v>0</v>
      </c>
      <c r="I88" s="35">
        <f t="shared" si="24"/>
        <v>0</v>
      </c>
      <c r="J88" s="77"/>
      <c r="K88" s="48">
        <f t="shared" si="25"/>
        <v>0</v>
      </c>
      <c r="L88" s="112"/>
      <c r="M88" s="486">
        <v>90000</v>
      </c>
      <c r="N88" s="48">
        <f t="shared" si="26"/>
        <v>90000</v>
      </c>
      <c r="O88" s="28">
        <f t="shared" si="27"/>
        <v>93780</v>
      </c>
      <c r="P88" s="48">
        <f t="shared" si="23"/>
        <v>0</v>
      </c>
      <c r="Q88" s="523">
        <f t="shared" si="39"/>
        <v>4.2000000000000003E-2</v>
      </c>
      <c r="R88" s="77">
        <v>7</v>
      </c>
      <c r="S88" s="82" t="s">
        <v>98</v>
      </c>
      <c r="T88" s="496">
        <f t="shared" si="40"/>
        <v>3780</v>
      </c>
      <c r="U88" s="31"/>
      <c r="V88" s="48">
        <f t="shared" si="28"/>
        <v>0</v>
      </c>
      <c r="W88" s="31"/>
      <c r="X88" s="48">
        <f t="shared" si="29"/>
        <v>0</v>
      </c>
      <c r="Y88" s="31"/>
      <c r="Z88" s="48">
        <f t="shared" si="30"/>
        <v>0</v>
      </c>
      <c r="AA88" s="31"/>
      <c r="AB88" s="48">
        <f t="shared" si="31"/>
        <v>0</v>
      </c>
      <c r="AC88" s="31">
        <v>0</v>
      </c>
      <c r="AD88" s="48">
        <f t="shared" si="32"/>
        <v>0</v>
      </c>
      <c r="AE88" s="48">
        <v>0</v>
      </c>
      <c r="AF88" s="48">
        <v>0</v>
      </c>
      <c r="AG88" s="48">
        <v>0</v>
      </c>
      <c r="AH88" s="48">
        <v>0</v>
      </c>
      <c r="AI88" s="48">
        <v>0</v>
      </c>
      <c r="AJ88" s="280">
        <v>0</v>
      </c>
      <c r="AK88" s="283">
        <f t="shared" si="33"/>
        <v>93780</v>
      </c>
      <c r="AL88" s="60">
        <v>0</v>
      </c>
      <c r="AM88" s="60">
        <v>0</v>
      </c>
      <c r="AN88" s="60">
        <f t="shared" si="36"/>
        <v>8909</v>
      </c>
      <c r="AO88" s="36">
        <f t="shared" si="37"/>
        <v>1594</v>
      </c>
      <c r="AP88" s="30">
        <v>0</v>
      </c>
      <c r="AQ88" s="36">
        <f t="shared" si="38"/>
        <v>0</v>
      </c>
      <c r="AR88" s="26">
        <f t="shared" si="21"/>
        <v>8291</v>
      </c>
      <c r="AS88" s="26">
        <v>0</v>
      </c>
      <c r="AT88" s="26">
        <v>0</v>
      </c>
      <c r="AU88" s="26">
        <v>0</v>
      </c>
      <c r="AV88" s="67">
        <f t="shared" si="34"/>
        <v>18794</v>
      </c>
      <c r="AW88" s="278">
        <f t="shared" si="35"/>
        <v>74986</v>
      </c>
      <c r="AX88" s="67"/>
      <c r="AY88" s="67"/>
    </row>
    <row r="89" spans="1:51" ht="20.100000000000001" customHeight="1" thickBot="1" x14ac:dyDescent="0.3">
      <c r="A89" s="21">
        <v>77</v>
      </c>
      <c r="B89" s="33" t="s">
        <v>252</v>
      </c>
      <c r="C89" s="532">
        <v>843035405</v>
      </c>
      <c r="D89" s="74" t="s">
        <v>141</v>
      </c>
      <c r="E89" s="313" t="s">
        <v>374</v>
      </c>
      <c r="F89" s="530" t="s">
        <v>134</v>
      </c>
      <c r="G89" s="76">
        <v>22</v>
      </c>
      <c r="H89" s="35">
        <v>0</v>
      </c>
      <c r="I89" s="35">
        <f t="shared" si="24"/>
        <v>0</v>
      </c>
      <c r="J89" s="77"/>
      <c r="K89" s="48">
        <f t="shared" si="25"/>
        <v>0</v>
      </c>
      <c r="L89" s="112"/>
      <c r="M89" s="486">
        <v>90000</v>
      </c>
      <c r="N89" s="48">
        <f t="shared" si="26"/>
        <v>90000</v>
      </c>
      <c r="O89" s="28">
        <f t="shared" si="27"/>
        <v>94320</v>
      </c>
      <c r="P89" s="48">
        <f t="shared" si="23"/>
        <v>0</v>
      </c>
      <c r="Q89" s="523">
        <f t="shared" si="39"/>
        <v>4.8000000000000001E-2</v>
      </c>
      <c r="R89" s="77">
        <v>8</v>
      </c>
      <c r="S89" s="82" t="s">
        <v>99</v>
      </c>
      <c r="T89" s="496">
        <f t="shared" si="40"/>
        <v>4320</v>
      </c>
      <c r="U89" s="31"/>
      <c r="V89" s="48">
        <f t="shared" si="28"/>
        <v>0</v>
      </c>
      <c r="W89" s="31"/>
      <c r="X89" s="48">
        <f t="shared" si="29"/>
        <v>0</v>
      </c>
      <c r="Y89" s="31"/>
      <c r="Z89" s="48">
        <f t="shared" si="30"/>
        <v>0</v>
      </c>
      <c r="AA89" s="31"/>
      <c r="AB89" s="48">
        <f t="shared" si="31"/>
        <v>0</v>
      </c>
      <c r="AC89" s="31">
        <v>0</v>
      </c>
      <c r="AD89" s="48">
        <f t="shared" si="32"/>
        <v>0</v>
      </c>
      <c r="AE89" s="48">
        <v>0</v>
      </c>
      <c r="AF89" s="48">
        <v>0</v>
      </c>
      <c r="AG89" s="48">
        <v>0</v>
      </c>
      <c r="AH89" s="48">
        <v>0</v>
      </c>
      <c r="AI89" s="48">
        <v>0</v>
      </c>
      <c r="AJ89" s="280">
        <v>0</v>
      </c>
      <c r="AK89" s="283">
        <f t="shared" si="33"/>
        <v>94320</v>
      </c>
      <c r="AL89" s="60">
        <v>0</v>
      </c>
      <c r="AM89" s="60">
        <v>0</v>
      </c>
      <c r="AN89" s="60">
        <f t="shared" si="36"/>
        <v>8960</v>
      </c>
      <c r="AO89" s="36">
        <f t="shared" si="37"/>
        <v>1603</v>
      </c>
      <c r="AP89" s="30">
        <v>0</v>
      </c>
      <c r="AQ89" s="36">
        <f t="shared" si="38"/>
        <v>0</v>
      </c>
      <c r="AR89" s="26">
        <f t="shared" si="21"/>
        <v>8362</v>
      </c>
      <c r="AS89" s="26">
        <v>0</v>
      </c>
      <c r="AT89" s="26">
        <v>0</v>
      </c>
      <c r="AU89" s="26">
        <v>0</v>
      </c>
      <c r="AV89" s="67">
        <f t="shared" si="34"/>
        <v>18925</v>
      </c>
      <c r="AW89" s="278">
        <f t="shared" si="35"/>
        <v>75395</v>
      </c>
      <c r="AX89" s="67"/>
      <c r="AY89" s="67"/>
    </row>
    <row r="90" spans="1:51" ht="20.100000000000001" customHeight="1" thickBot="1" x14ac:dyDescent="0.3">
      <c r="A90" s="21">
        <v>78</v>
      </c>
      <c r="B90" s="33" t="s">
        <v>253</v>
      </c>
      <c r="C90" s="532">
        <v>255859542</v>
      </c>
      <c r="D90" s="74" t="s">
        <v>330</v>
      </c>
      <c r="E90" s="313" t="s">
        <v>375</v>
      </c>
      <c r="F90" s="482" t="s">
        <v>134</v>
      </c>
      <c r="G90" s="76">
        <v>22</v>
      </c>
      <c r="H90" s="35">
        <v>0</v>
      </c>
      <c r="I90" s="35">
        <f t="shared" si="24"/>
        <v>0</v>
      </c>
      <c r="J90" s="77"/>
      <c r="K90" s="48">
        <f t="shared" si="25"/>
        <v>0</v>
      </c>
      <c r="L90" s="112"/>
      <c r="M90" s="486">
        <v>90000</v>
      </c>
      <c r="N90" s="48">
        <f t="shared" si="26"/>
        <v>90000</v>
      </c>
      <c r="O90" s="28">
        <f t="shared" si="27"/>
        <v>90000</v>
      </c>
      <c r="P90" s="48">
        <f t="shared" si="23"/>
        <v>0</v>
      </c>
      <c r="Q90" s="524"/>
      <c r="R90" s="77"/>
      <c r="S90" s="527"/>
      <c r="T90" s="525"/>
      <c r="U90" s="31"/>
      <c r="V90" s="48">
        <f t="shared" si="28"/>
        <v>0</v>
      </c>
      <c r="W90" s="31"/>
      <c r="X90" s="48">
        <f t="shared" si="29"/>
        <v>0</v>
      </c>
      <c r="Y90" s="31"/>
      <c r="Z90" s="48">
        <f t="shared" si="30"/>
        <v>0</v>
      </c>
      <c r="AA90" s="31"/>
      <c r="AB90" s="48">
        <f t="shared" si="31"/>
        <v>0</v>
      </c>
      <c r="AC90" s="31">
        <v>0</v>
      </c>
      <c r="AD90" s="48">
        <f t="shared" si="32"/>
        <v>0</v>
      </c>
      <c r="AE90" s="48">
        <v>0</v>
      </c>
      <c r="AF90" s="48">
        <v>0</v>
      </c>
      <c r="AG90" s="48">
        <v>0</v>
      </c>
      <c r="AH90" s="48">
        <v>0</v>
      </c>
      <c r="AI90" s="48">
        <v>0</v>
      </c>
      <c r="AJ90" s="280">
        <v>0</v>
      </c>
      <c r="AK90" s="283">
        <f t="shared" si="33"/>
        <v>90000</v>
      </c>
      <c r="AL90" s="60">
        <v>0</v>
      </c>
      <c r="AM90" s="60">
        <v>0</v>
      </c>
      <c r="AN90" s="60">
        <f t="shared" si="36"/>
        <v>8550</v>
      </c>
      <c r="AO90" s="36">
        <f t="shared" si="37"/>
        <v>1530</v>
      </c>
      <c r="AP90" s="30">
        <v>0</v>
      </c>
      <c r="AQ90" s="36">
        <f t="shared" si="38"/>
        <v>0</v>
      </c>
      <c r="AR90" s="26">
        <f t="shared" si="21"/>
        <v>7800</v>
      </c>
      <c r="AS90" s="26">
        <v>0</v>
      </c>
      <c r="AT90" s="26">
        <v>0</v>
      </c>
      <c r="AU90" s="26">
        <v>0</v>
      </c>
      <c r="AV90" s="67">
        <f t="shared" si="34"/>
        <v>17880</v>
      </c>
      <c r="AW90" s="278">
        <f t="shared" si="35"/>
        <v>72120</v>
      </c>
      <c r="AX90" s="67"/>
      <c r="AY90" s="67"/>
    </row>
    <row r="91" spans="1:51" ht="20.100000000000001" customHeight="1" x14ac:dyDescent="0.25">
      <c r="A91" s="21">
        <v>79</v>
      </c>
      <c r="B91" s="33" t="s">
        <v>254</v>
      </c>
      <c r="C91" s="532">
        <v>234140582</v>
      </c>
      <c r="D91" s="74" t="s">
        <v>137</v>
      </c>
      <c r="E91" s="313" t="s">
        <v>376</v>
      </c>
      <c r="F91" s="529" t="s">
        <v>134</v>
      </c>
      <c r="G91" s="76">
        <v>22</v>
      </c>
      <c r="H91" s="35">
        <v>0</v>
      </c>
      <c r="I91" s="35">
        <f t="shared" si="24"/>
        <v>0</v>
      </c>
      <c r="J91" s="77"/>
      <c r="K91" s="48">
        <f t="shared" si="25"/>
        <v>0</v>
      </c>
      <c r="L91" s="112"/>
      <c r="M91" s="486">
        <v>80000</v>
      </c>
      <c r="N91" s="48">
        <f t="shared" si="26"/>
        <v>80000</v>
      </c>
      <c r="O91" s="28">
        <f t="shared" si="27"/>
        <v>80480</v>
      </c>
      <c r="P91" s="48">
        <f t="shared" si="23"/>
        <v>0</v>
      </c>
      <c r="Q91" s="523">
        <f t="shared" ref="Q91:Q96" si="41">IF(R91&lt;=10,R91*0.6%,IF(R91&lt;=20,6%+(R91-10)*0.8%,IF(R91&lt;=30,14%+(R91-20)*1%,24%)))</f>
        <v>6.0000000000000001E-3</v>
      </c>
      <c r="R91" s="77">
        <v>1</v>
      </c>
      <c r="S91" s="82" t="s">
        <v>104</v>
      </c>
      <c r="T91" s="496">
        <f t="shared" ref="T91:T96" si="42">ROUND(N91*(Q91),0)</f>
        <v>480</v>
      </c>
      <c r="U91" s="31"/>
      <c r="V91" s="48">
        <f t="shared" si="28"/>
        <v>0</v>
      </c>
      <c r="W91" s="31"/>
      <c r="X91" s="48">
        <f t="shared" si="29"/>
        <v>0</v>
      </c>
      <c r="Y91" s="31"/>
      <c r="Z91" s="48">
        <f t="shared" si="30"/>
        <v>0</v>
      </c>
      <c r="AA91" s="31"/>
      <c r="AB91" s="48">
        <f t="shared" si="31"/>
        <v>0</v>
      </c>
      <c r="AC91" s="31">
        <v>0</v>
      </c>
      <c r="AD91" s="48">
        <f t="shared" si="32"/>
        <v>0</v>
      </c>
      <c r="AE91" s="48">
        <v>0</v>
      </c>
      <c r="AF91" s="48">
        <v>0</v>
      </c>
      <c r="AG91" s="48">
        <v>0</v>
      </c>
      <c r="AH91" s="48">
        <v>0</v>
      </c>
      <c r="AI91" s="48">
        <v>0</v>
      </c>
      <c r="AJ91" s="280">
        <v>0</v>
      </c>
      <c r="AK91" s="283">
        <f t="shared" si="33"/>
        <v>80480</v>
      </c>
      <c r="AL91" s="60">
        <v>0</v>
      </c>
      <c r="AM91" s="60">
        <v>0</v>
      </c>
      <c r="AN91" s="60">
        <f t="shared" si="36"/>
        <v>7646</v>
      </c>
      <c r="AO91" s="36">
        <f t="shared" si="37"/>
        <v>1368</v>
      </c>
      <c r="AP91" s="30">
        <v>0</v>
      </c>
      <c r="AQ91" s="36">
        <f t="shared" si="38"/>
        <v>0</v>
      </c>
      <c r="AR91" s="26">
        <f t="shared" si="21"/>
        <v>6562</v>
      </c>
      <c r="AS91" s="26">
        <v>0</v>
      </c>
      <c r="AT91" s="26">
        <v>0</v>
      </c>
      <c r="AU91" s="26">
        <v>0</v>
      </c>
      <c r="AV91" s="67">
        <f t="shared" si="34"/>
        <v>15576</v>
      </c>
      <c r="AW91" s="278">
        <f t="shared" si="35"/>
        <v>64904</v>
      </c>
      <c r="AX91" s="67"/>
      <c r="AY91" s="67"/>
    </row>
    <row r="92" spans="1:51" ht="20.100000000000001" customHeight="1" x14ac:dyDescent="0.25">
      <c r="A92" s="21">
        <v>80</v>
      </c>
      <c r="B92" s="33" t="s">
        <v>255</v>
      </c>
      <c r="C92" s="532">
        <v>435045462</v>
      </c>
      <c r="D92" s="74" t="s">
        <v>328</v>
      </c>
      <c r="E92" s="313" t="s">
        <v>377</v>
      </c>
      <c r="F92" s="529" t="s">
        <v>134</v>
      </c>
      <c r="G92" s="76">
        <v>22</v>
      </c>
      <c r="H92" s="35">
        <v>0</v>
      </c>
      <c r="I92" s="35">
        <f t="shared" si="24"/>
        <v>0</v>
      </c>
      <c r="J92" s="77"/>
      <c r="K92" s="48">
        <f t="shared" si="25"/>
        <v>0</v>
      </c>
      <c r="L92" s="112"/>
      <c r="M92" s="486">
        <v>80000</v>
      </c>
      <c r="N92" s="48">
        <f t="shared" si="26"/>
        <v>80000</v>
      </c>
      <c r="O92" s="28">
        <f t="shared" si="27"/>
        <v>80960</v>
      </c>
      <c r="P92" s="48">
        <f t="shared" si="23"/>
        <v>0</v>
      </c>
      <c r="Q92" s="523">
        <f t="shared" si="41"/>
        <v>1.2E-2</v>
      </c>
      <c r="R92" s="77">
        <v>2</v>
      </c>
      <c r="S92" s="82" t="s">
        <v>101</v>
      </c>
      <c r="T92" s="496">
        <f t="shared" si="42"/>
        <v>960</v>
      </c>
      <c r="U92" s="31"/>
      <c r="V92" s="48">
        <f t="shared" si="28"/>
        <v>0</v>
      </c>
      <c r="W92" s="31"/>
      <c r="X92" s="48">
        <f t="shared" si="29"/>
        <v>0</v>
      </c>
      <c r="Y92" s="31"/>
      <c r="Z92" s="48">
        <f t="shared" si="30"/>
        <v>0</v>
      </c>
      <c r="AA92" s="31"/>
      <c r="AB92" s="48">
        <f t="shared" si="31"/>
        <v>0</v>
      </c>
      <c r="AC92" s="31">
        <v>0</v>
      </c>
      <c r="AD92" s="48">
        <f t="shared" si="32"/>
        <v>0</v>
      </c>
      <c r="AE92" s="48">
        <v>0</v>
      </c>
      <c r="AF92" s="48">
        <v>0</v>
      </c>
      <c r="AG92" s="48">
        <v>0</v>
      </c>
      <c r="AH92" s="48">
        <v>0</v>
      </c>
      <c r="AI92" s="48">
        <v>0</v>
      </c>
      <c r="AJ92" s="280">
        <v>0</v>
      </c>
      <c r="AK92" s="283">
        <f t="shared" si="33"/>
        <v>80960</v>
      </c>
      <c r="AL92" s="60">
        <v>0</v>
      </c>
      <c r="AM92" s="60">
        <v>0</v>
      </c>
      <c r="AN92" s="60">
        <f t="shared" si="36"/>
        <v>7691</v>
      </c>
      <c r="AO92" s="36">
        <f t="shared" si="37"/>
        <v>1376</v>
      </c>
      <c r="AP92" s="30">
        <v>0</v>
      </c>
      <c r="AQ92" s="36">
        <f t="shared" si="38"/>
        <v>0</v>
      </c>
      <c r="AR92" s="26">
        <f t="shared" si="21"/>
        <v>6625</v>
      </c>
      <c r="AS92" s="26">
        <v>0</v>
      </c>
      <c r="AT92" s="26">
        <v>0</v>
      </c>
      <c r="AU92" s="26">
        <v>0</v>
      </c>
      <c r="AV92" s="67">
        <f t="shared" si="34"/>
        <v>15692</v>
      </c>
      <c r="AW92" s="278">
        <f t="shared" si="35"/>
        <v>65268</v>
      </c>
      <c r="AX92" s="67"/>
      <c r="AY92" s="67"/>
    </row>
    <row r="93" spans="1:51" ht="20.100000000000001" customHeight="1" x14ac:dyDescent="0.25">
      <c r="A93" s="21">
        <v>81</v>
      </c>
      <c r="B93" s="33" t="s">
        <v>256</v>
      </c>
      <c r="C93" s="532">
        <v>167231101</v>
      </c>
      <c r="D93" s="74" t="s">
        <v>329</v>
      </c>
      <c r="E93" s="313" t="s">
        <v>378</v>
      </c>
      <c r="F93" s="529" t="s">
        <v>134</v>
      </c>
      <c r="G93" s="76">
        <v>22</v>
      </c>
      <c r="H93" s="35">
        <v>0</v>
      </c>
      <c r="I93" s="35">
        <f t="shared" si="24"/>
        <v>0</v>
      </c>
      <c r="J93" s="77"/>
      <c r="K93" s="48">
        <f t="shared" si="25"/>
        <v>0</v>
      </c>
      <c r="L93" s="112"/>
      <c r="M93" s="486">
        <v>80000</v>
      </c>
      <c r="N93" s="48">
        <f t="shared" si="26"/>
        <v>80000</v>
      </c>
      <c r="O93" s="28">
        <f t="shared" si="27"/>
        <v>81440</v>
      </c>
      <c r="P93" s="48">
        <f t="shared" si="23"/>
        <v>0</v>
      </c>
      <c r="Q93" s="523">
        <f t="shared" si="41"/>
        <v>1.8000000000000002E-2</v>
      </c>
      <c r="R93" s="77">
        <v>3</v>
      </c>
      <c r="S93" s="82" t="s">
        <v>102</v>
      </c>
      <c r="T93" s="496">
        <f t="shared" si="42"/>
        <v>1440</v>
      </c>
      <c r="U93" s="31"/>
      <c r="V93" s="48">
        <f t="shared" si="28"/>
        <v>0</v>
      </c>
      <c r="W93" s="31"/>
      <c r="X93" s="48">
        <f t="shared" si="29"/>
        <v>0</v>
      </c>
      <c r="Y93" s="31"/>
      <c r="Z93" s="48">
        <f t="shared" si="30"/>
        <v>0</v>
      </c>
      <c r="AA93" s="31"/>
      <c r="AB93" s="48">
        <f t="shared" si="31"/>
        <v>0</v>
      </c>
      <c r="AC93" s="31">
        <v>0</v>
      </c>
      <c r="AD93" s="48">
        <f t="shared" si="32"/>
        <v>0</v>
      </c>
      <c r="AE93" s="48">
        <v>0</v>
      </c>
      <c r="AF93" s="48">
        <v>0</v>
      </c>
      <c r="AG93" s="48">
        <v>0</v>
      </c>
      <c r="AH93" s="48">
        <v>0</v>
      </c>
      <c r="AI93" s="48">
        <v>0</v>
      </c>
      <c r="AJ93" s="280">
        <v>0</v>
      </c>
      <c r="AK93" s="283">
        <f t="shared" si="33"/>
        <v>81440</v>
      </c>
      <c r="AL93" s="60">
        <v>0</v>
      </c>
      <c r="AM93" s="60">
        <v>0</v>
      </c>
      <c r="AN93" s="60">
        <f t="shared" si="36"/>
        <v>7737</v>
      </c>
      <c r="AO93" s="36">
        <f t="shared" si="37"/>
        <v>1384</v>
      </c>
      <c r="AP93" s="30">
        <v>0</v>
      </c>
      <c r="AQ93" s="36">
        <f t="shared" si="38"/>
        <v>0</v>
      </c>
      <c r="AR93" s="26">
        <f t="shared" si="21"/>
        <v>6687</v>
      </c>
      <c r="AS93" s="26">
        <v>0</v>
      </c>
      <c r="AT93" s="26">
        <v>0</v>
      </c>
      <c r="AU93" s="26">
        <v>0</v>
      </c>
      <c r="AV93" s="67">
        <f t="shared" si="34"/>
        <v>15808</v>
      </c>
      <c r="AW93" s="278">
        <f t="shared" si="35"/>
        <v>65632</v>
      </c>
      <c r="AX93" s="67"/>
      <c r="AY93" s="67"/>
    </row>
    <row r="94" spans="1:51" ht="20.100000000000001" customHeight="1" x14ac:dyDescent="0.25">
      <c r="A94" s="21">
        <v>82</v>
      </c>
      <c r="B94" s="33" t="s">
        <v>257</v>
      </c>
      <c r="C94" s="532">
        <v>905922087</v>
      </c>
      <c r="D94" s="74" t="s">
        <v>138</v>
      </c>
      <c r="E94" s="313" t="s">
        <v>379</v>
      </c>
      <c r="F94" s="529" t="s">
        <v>134</v>
      </c>
      <c r="G94" s="76">
        <v>22</v>
      </c>
      <c r="H94" s="35">
        <v>0</v>
      </c>
      <c r="I94" s="35">
        <f t="shared" si="24"/>
        <v>0</v>
      </c>
      <c r="J94" s="77"/>
      <c r="K94" s="48">
        <f t="shared" si="25"/>
        <v>0</v>
      </c>
      <c r="L94" s="112"/>
      <c r="M94" s="486">
        <v>80000</v>
      </c>
      <c r="N94" s="48">
        <f t="shared" si="26"/>
        <v>80000</v>
      </c>
      <c r="O94" s="28">
        <f t="shared" si="27"/>
        <v>81920</v>
      </c>
      <c r="P94" s="48">
        <f t="shared" si="23"/>
        <v>0</v>
      </c>
      <c r="Q94" s="523">
        <f t="shared" si="41"/>
        <v>2.4E-2</v>
      </c>
      <c r="R94" s="77">
        <v>4</v>
      </c>
      <c r="S94" s="82" t="s">
        <v>103</v>
      </c>
      <c r="T94" s="496">
        <f t="shared" si="42"/>
        <v>1920</v>
      </c>
      <c r="U94" s="31"/>
      <c r="V94" s="48">
        <f t="shared" si="28"/>
        <v>0</v>
      </c>
      <c r="W94" s="31"/>
      <c r="X94" s="48">
        <f t="shared" si="29"/>
        <v>0</v>
      </c>
      <c r="Y94" s="31"/>
      <c r="Z94" s="48">
        <f t="shared" si="30"/>
        <v>0</v>
      </c>
      <c r="AA94" s="31"/>
      <c r="AB94" s="48">
        <f t="shared" si="31"/>
        <v>0</v>
      </c>
      <c r="AC94" s="31">
        <v>0</v>
      </c>
      <c r="AD94" s="48">
        <f t="shared" si="32"/>
        <v>0</v>
      </c>
      <c r="AE94" s="48">
        <v>0</v>
      </c>
      <c r="AF94" s="48">
        <v>0</v>
      </c>
      <c r="AG94" s="48">
        <v>0</v>
      </c>
      <c r="AH94" s="48">
        <v>0</v>
      </c>
      <c r="AI94" s="48">
        <v>0</v>
      </c>
      <c r="AJ94" s="280">
        <v>0</v>
      </c>
      <c r="AK94" s="283">
        <f t="shared" si="33"/>
        <v>81920</v>
      </c>
      <c r="AL94" s="60">
        <v>0</v>
      </c>
      <c r="AM94" s="60">
        <v>0</v>
      </c>
      <c r="AN94" s="60">
        <f t="shared" si="36"/>
        <v>7782</v>
      </c>
      <c r="AO94" s="36">
        <f t="shared" si="37"/>
        <v>1393</v>
      </c>
      <c r="AP94" s="30">
        <v>0</v>
      </c>
      <c r="AQ94" s="36">
        <f t="shared" si="38"/>
        <v>0</v>
      </c>
      <c r="AR94" s="26">
        <f t="shared" si="21"/>
        <v>6750</v>
      </c>
      <c r="AS94" s="26">
        <v>0</v>
      </c>
      <c r="AT94" s="26">
        <v>0</v>
      </c>
      <c r="AU94" s="26">
        <v>0</v>
      </c>
      <c r="AV94" s="67">
        <f t="shared" si="34"/>
        <v>15925</v>
      </c>
      <c r="AW94" s="278">
        <f t="shared" si="35"/>
        <v>65995</v>
      </c>
      <c r="AX94" s="67"/>
      <c r="AY94" s="67"/>
    </row>
    <row r="95" spans="1:51" ht="20.100000000000001" customHeight="1" x14ac:dyDescent="0.25">
      <c r="A95" s="21">
        <v>83</v>
      </c>
      <c r="B95" s="33" t="s">
        <v>258</v>
      </c>
      <c r="C95" s="532">
        <v>549001550</v>
      </c>
      <c r="D95" s="74" t="s">
        <v>135</v>
      </c>
      <c r="E95" s="313" t="s">
        <v>380</v>
      </c>
      <c r="F95" s="529" t="s">
        <v>134</v>
      </c>
      <c r="G95" s="76">
        <v>22</v>
      </c>
      <c r="H95" s="35">
        <v>0</v>
      </c>
      <c r="I95" s="35">
        <f t="shared" si="24"/>
        <v>0</v>
      </c>
      <c r="J95" s="77"/>
      <c r="K95" s="48">
        <f t="shared" si="25"/>
        <v>0</v>
      </c>
      <c r="L95" s="112"/>
      <c r="M95" s="486">
        <v>80000</v>
      </c>
      <c r="N95" s="48">
        <f t="shared" si="26"/>
        <v>80000</v>
      </c>
      <c r="O95" s="28">
        <f t="shared" si="27"/>
        <v>82400</v>
      </c>
      <c r="P95" s="48">
        <f t="shared" si="23"/>
        <v>0</v>
      </c>
      <c r="Q95" s="523">
        <f t="shared" si="41"/>
        <v>0.03</v>
      </c>
      <c r="R95" s="77">
        <v>5</v>
      </c>
      <c r="S95" s="82" t="s">
        <v>118</v>
      </c>
      <c r="T95" s="496">
        <f t="shared" si="42"/>
        <v>2400</v>
      </c>
      <c r="U95" s="31"/>
      <c r="V95" s="48">
        <f t="shared" si="28"/>
        <v>0</v>
      </c>
      <c r="W95" s="31"/>
      <c r="X95" s="48">
        <f t="shared" si="29"/>
        <v>0</v>
      </c>
      <c r="Y95" s="31"/>
      <c r="Z95" s="48">
        <f t="shared" si="30"/>
        <v>0</v>
      </c>
      <c r="AA95" s="31"/>
      <c r="AB95" s="48">
        <f t="shared" si="31"/>
        <v>0</v>
      </c>
      <c r="AC95" s="31">
        <v>0</v>
      </c>
      <c r="AD95" s="48">
        <f t="shared" si="32"/>
        <v>0</v>
      </c>
      <c r="AE95" s="48">
        <v>0</v>
      </c>
      <c r="AF95" s="48">
        <v>0</v>
      </c>
      <c r="AG95" s="48">
        <v>0</v>
      </c>
      <c r="AH95" s="48">
        <v>0</v>
      </c>
      <c r="AI95" s="48">
        <v>0</v>
      </c>
      <c r="AJ95" s="280">
        <v>0</v>
      </c>
      <c r="AK95" s="283">
        <f t="shared" si="33"/>
        <v>82400</v>
      </c>
      <c r="AL95" s="60">
        <v>0</v>
      </c>
      <c r="AM95" s="60">
        <v>0</v>
      </c>
      <c r="AN95" s="60">
        <f t="shared" si="36"/>
        <v>7828</v>
      </c>
      <c r="AO95" s="36">
        <f t="shared" si="37"/>
        <v>1401</v>
      </c>
      <c r="AP95" s="30">
        <v>0</v>
      </c>
      <c r="AQ95" s="36">
        <f t="shared" si="38"/>
        <v>0</v>
      </c>
      <c r="AR95" s="26">
        <f t="shared" si="21"/>
        <v>6812</v>
      </c>
      <c r="AS95" s="26">
        <v>0</v>
      </c>
      <c r="AT95" s="26">
        <v>0</v>
      </c>
      <c r="AU95" s="26">
        <v>0</v>
      </c>
      <c r="AV95" s="67">
        <f t="shared" si="34"/>
        <v>16041</v>
      </c>
      <c r="AW95" s="278">
        <f t="shared" si="35"/>
        <v>66359</v>
      </c>
      <c r="AX95" s="67"/>
      <c r="AY95" s="67"/>
    </row>
    <row r="96" spans="1:51" ht="20.100000000000001" customHeight="1" thickBot="1" x14ac:dyDescent="0.3">
      <c r="A96" s="21">
        <v>84</v>
      </c>
      <c r="B96" s="33" t="s">
        <v>259</v>
      </c>
      <c r="C96" s="532">
        <v>942740018</v>
      </c>
      <c r="D96" s="74" t="s">
        <v>136</v>
      </c>
      <c r="E96" s="313" t="s">
        <v>381</v>
      </c>
      <c r="F96" s="530" t="s">
        <v>134</v>
      </c>
      <c r="G96" s="76">
        <v>22</v>
      </c>
      <c r="H96" s="35">
        <v>0</v>
      </c>
      <c r="I96" s="35">
        <f t="shared" si="24"/>
        <v>0</v>
      </c>
      <c r="J96" s="77"/>
      <c r="K96" s="48">
        <f t="shared" si="25"/>
        <v>0</v>
      </c>
      <c r="L96" s="112"/>
      <c r="M96" s="486">
        <v>80000</v>
      </c>
      <c r="N96" s="48">
        <f t="shared" si="26"/>
        <v>80000</v>
      </c>
      <c r="O96" s="28">
        <f t="shared" si="27"/>
        <v>82880</v>
      </c>
      <c r="P96" s="48">
        <f t="shared" si="23"/>
        <v>0</v>
      </c>
      <c r="Q96" s="523">
        <f t="shared" si="41"/>
        <v>3.6000000000000004E-2</v>
      </c>
      <c r="R96" s="77">
        <v>6</v>
      </c>
      <c r="S96" s="82" t="s">
        <v>119</v>
      </c>
      <c r="T96" s="496">
        <f t="shared" si="42"/>
        <v>2880</v>
      </c>
      <c r="U96" s="31"/>
      <c r="V96" s="48">
        <f t="shared" si="28"/>
        <v>0</v>
      </c>
      <c r="W96" s="31"/>
      <c r="X96" s="48">
        <f t="shared" si="29"/>
        <v>0</v>
      </c>
      <c r="Y96" s="31"/>
      <c r="Z96" s="48">
        <f t="shared" si="30"/>
        <v>0</v>
      </c>
      <c r="AA96" s="31"/>
      <c r="AB96" s="48">
        <f t="shared" si="31"/>
        <v>0</v>
      </c>
      <c r="AC96" s="31">
        <v>0</v>
      </c>
      <c r="AD96" s="48">
        <f t="shared" si="32"/>
        <v>0</v>
      </c>
      <c r="AE96" s="48">
        <v>0</v>
      </c>
      <c r="AF96" s="48">
        <v>0</v>
      </c>
      <c r="AG96" s="48">
        <v>0</v>
      </c>
      <c r="AH96" s="48">
        <v>0</v>
      </c>
      <c r="AI96" s="48">
        <v>0</v>
      </c>
      <c r="AJ96" s="280">
        <v>0</v>
      </c>
      <c r="AK96" s="283">
        <f t="shared" si="33"/>
        <v>82880</v>
      </c>
      <c r="AL96" s="60">
        <v>0</v>
      </c>
      <c r="AM96" s="60">
        <v>0</v>
      </c>
      <c r="AN96" s="60">
        <f t="shared" si="36"/>
        <v>7874</v>
      </c>
      <c r="AO96" s="36">
        <f t="shared" si="37"/>
        <v>1409</v>
      </c>
      <c r="AP96" s="30">
        <v>0</v>
      </c>
      <c r="AQ96" s="36">
        <f t="shared" si="38"/>
        <v>0</v>
      </c>
      <c r="AR96" s="26">
        <f t="shared" si="21"/>
        <v>6874</v>
      </c>
      <c r="AS96" s="26">
        <v>0</v>
      </c>
      <c r="AT96" s="26">
        <v>0</v>
      </c>
      <c r="AU96" s="26">
        <v>0</v>
      </c>
      <c r="AV96" s="67">
        <f t="shared" si="34"/>
        <v>16157</v>
      </c>
      <c r="AW96" s="278">
        <f t="shared" si="35"/>
        <v>66723</v>
      </c>
      <c r="AX96" s="67"/>
      <c r="AY96" s="67"/>
    </row>
    <row r="97" spans="1:51" ht="20.100000000000001" customHeight="1" x14ac:dyDescent="0.25">
      <c r="A97" s="21">
        <v>85</v>
      </c>
      <c r="B97" s="33" t="s">
        <v>260</v>
      </c>
      <c r="C97" s="532">
        <v>365402827</v>
      </c>
      <c r="D97" s="74" t="s">
        <v>141</v>
      </c>
      <c r="E97" s="313" t="s">
        <v>382</v>
      </c>
      <c r="F97" s="311" t="s">
        <v>134</v>
      </c>
      <c r="G97" s="76">
        <v>22</v>
      </c>
      <c r="H97" s="35">
        <v>0</v>
      </c>
      <c r="I97" s="35">
        <f t="shared" si="24"/>
        <v>0</v>
      </c>
      <c r="J97" s="77"/>
      <c r="K97" s="48">
        <f t="shared" si="25"/>
        <v>0</v>
      </c>
      <c r="L97" s="112"/>
      <c r="M97" s="486">
        <v>80000</v>
      </c>
      <c r="N97" s="48">
        <f t="shared" si="26"/>
        <v>80000</v>
      </c>
      <c r="O97" s="28">
        <f t="shared" si="27"/>
        <v>80000</v>
      </c>
      <c r="P97" s="48">
        <f t="shared" si="23"/>
        <v>0</v>
      </c>
      <c r="Q97" s="524"/>
      <c r="R97" s="77"/>
      <c r="S97" s="527"/>
      <c r="T97" s="525"/>
      <c r="U97" s="31"/>
      <c r="V97" s="48">
        <f t="shared" si="28"/>
        <v>0</v>
      </c>
      <c r="W97" s="31"/>
      <c r="X97" s="48">
        <f t="shared" si="29"/>
        <v>0</v>
      </c>
      <c r="Y97" s="31"/>
      <c r="Z97" s="48">
        <f t="shared" si="30"/>
        <v>0</v>
      </c>
      <c r="AA97" s="31"/>
      <c r="AB97" s="48">
        <f t="shared" si="31"/>
        <v>0</v>
      </c>
      <c r="AC97" s="31">
        <v>0</v>
      </c>
      <c r="AD97" s="48">
        <f t="shared" si="32"/>
        <v>0</v>
      </c>
      <c r="AE97" s="48">
        <v>0</v>
      </c>
      <c r="AF97" s="48">
        <v>0</v>
      </c>
      <c r="AG97" s="48">
        <v>0</v>
      </c>
      <c r="AH97" s="48">
        <v>0</v>
      </c>
      <c r="AI97" s="48">
        <v>0</v>
      </c>
      <c r="AJ97" s="280">
        <v>0</v>
      </c>
      <c r="AK97" s="283">
        <f t="shared" si="33"/>
        <v>80000</v>
      </c>
      <c r="AL97" s="60">
        <v>0</v>
      </c>
      <c r="AM97" s="60">
        <v>0</v>
      </c>
      <c r="AN97" s="60">
        <f t="shared" si="36"/>
        <v>7600</v>
      </c>
      <c r="AO97" s="36">
        <f t="shared" si="37"/>
        <v>1360</v>
      </c>
      <c r="AP97" s="30">
        <v>0</v>
      </c>
      <c r="AQ97" s="36">
        <f t="shared" si="38"/>
        <v>0</v>
      </c>
      <c r="AR97" s="26">
        <f t="shared" si="21"/>
        <v>6500</v>
      </c>
      <c r="AS97" s="26">
        <v>0</v>
      </c>
      <c r="AT97" s="26">
        <v>0</v>
      </c>
      <c r="AU97" s="26">
        <v>0</v>
      </c>
      <c r="AV97" s="67">
        <f t="shared" si="34"/>
        <v>15460</v>
      </c>
      <c r="AW97" s="278">
        <f t="shared" si="35"/>
        <v>64540</v>
      </c>
      <c r="AX97" s="67"/>
      <c r="AY97" s="67"/>
    </row>
    <row r="98" spans="1:51" ht="32.1" customHeight="1" thickBot="1" x14ac:dyDescent="0.35">
      <c r="A98" s="501"/>
      <c r="B98" s="502"/>
      <c r="C98" s="533"/>
      <c r="D98" s="533"/>
      <c r="E98" s="504" t="s">
        <v>466</v>
      </c>
      <c r="F98" s="505"/>
      <c r="G98" s="506"/>
      <c r="H98" s="507"/>
      <c r="I98" s="507"/>
      <c r="J98" s="508"/>
      <c r="K98" s="509"/>
      <c r="L98" s="508"/>
      <c r="M98" s="508"/>
      <c r="N98" s="510"/>
      <c r="O98" s="503"/>
      <c r="P98" s="510"/>
      <c r="Q98" s="519" t="s">
        <v>478</v>
      </c>
      <c r="R98" s="508"/>
      <c r="S98" s="508"/>
      <c r="T98" s="519"/>
      <c r="U98" s="507"/>
      <c r="V98" s="510"/>
      <c r="W98" s="507"/>
      <c r="X98" s="510"/>
      <c r="Y98" s="507"/>
      <c r="Z98" s="510"/>
      <c r="AA98" s="507"/>
      <c r="AB98" s="510"/>
      <c r="AC98" s="507"/>
      <c r="AD98" s="511"/>
      <c r="AE98" s="511"/>
      <c r="AF98" s="511"/>
      <c r="AG98" s="511"/>
      <c r="AH98" s="511"/>
      <c r="AI98" s="510"/>
      <c r="AJ98" s="512"/>
      <c r="AK98" s="513"/>
      <c r="AL98" s="514"/>
      <c r="AM98" s="514"/>
      <c r="AN98" s="514"/>
      <c r="AO98" s="510"/>
      <c r="AP98" s="515"/>
      <c r="AQ98" s="510"/>
      <c r="AR98" s="510"/>
      <c r="AS98" s="516"/>
      <c r="AT98" s="516"/>
      <c r="AU98" s="516"/>
      <c r="AV98" s="517"/>
      <c r="AW98" s="518"/>
      <c r="AX98" s="517"/>
      <c r="AY98" s="517"/>
    </row>
    <row r="99" spans="1:51" ht="20.100000000000001" customHeight="1" x14ac:dyDescent="0.25">
      <c r="A99" s="32">
        <v>86</v>
      </c>
      <c r="B99" s="33" t="s">
        <v>261</v>
      </c>
      <c r="C99" s="532">
        <v>431857280</v>
      </c>
      <c r="D99" s="74" t="s">
        <v>139</v>
      </c>
      <c r="E99" s="33" t="s">
        <v>449</v>
      </c>
      <c r="F99" s="34" t="s">
        <v>105</v>
      </c>
      <c r="G99" s="75">
        <v>22</v>
      </c>
      <c r="H99" s="35">
        <v>0</v>
      </c>
      <c r="I99" s="35">
        <f t="shared" si="24"/>
        <v>0</v>
      </c>
      <c r="J99" s="77"/>
      <c r="K99" s="48">
        <f t="shared" si="25"/>
        <v>0</v>
      </c>
      <c r="L99" s="111"/>
      <c r="M99" s="308">
        <v>40000</v>
      </c>
      <c r="N99" s="48">
        <f t="shared" si="26"/>
        <v>40000</v>
      </c>
      <c r="O99" s="28">
        <f t="shared" si="27"/>
        <v>40400</v>
      </c>
      <c r="P99" s="48">
        <f t="shared" si="23"/>
        <v>0</v>
      </c>
      <c r="Q99" s="569">
        <f>IF(R99&lt;=25,R99*1%,25%)</f>
        <v>0.01</v>
      </c>
      <c r="R99" s="77">
        <v>1</v>
      </c>
      <c r="S99" s="82" t="s">
        <v>96</v>
      </c>
      <c r="T99" s="496">
        <f t="shared" ref="T99:T107" si="43">ROUND(N99*(Q99),0)</f>
        <v>400</v>
      </c>
      <c r="U99" s="35"/>
      <c r="V99" s="48">
        <f t="shared" si="28"/>
        <v>0</v>
      </c>
      <c r="W99" s="35"/>
      <c r="X99" s="48">
        <f t="shared" si="29"/>
        <v>0</v>
      </c>
      <c r="Y99" s="35"/>
      <c r="Z99" s="48">
        <f t="shared" si="30"/>
        <v>0</v>
      </c>
      <c r="AA99" s="35"/>
      <c r="AB99" s="48">
        <f t="shared" si="31"/>
        <v>0</v>
      </c>
      <c r="AC99" s="35">
        <v>0</v>
      </c>
      <c r="AD99" s="48">
        <f t="shared" si="32"/>
        <v>0</v>
      </c>
      <c r="AE99" s="48">
        <v>0</v>
      </c>
      <c r="AF99" s="48">
        <v>0</v>
      </c>
      <c r="AG99" s="48">
        <v>0</v>
      </c>
      <c r="AH99" s="48">
        <v>0</v>
      </c>
      <c r="AI99" s="48">
        <v>0</v>
      </c>
      <c r="AJ99" s="280">
        <v>0</v>
      </c>
      <c r="AK99" s="283">
        <f t="shared" si="33"/>
        <v>40400</v>
      </c>
      <c r="AL99" s="60">
        <v>0</v>
      </c>
      <c r="AM99" s="60">
        <v>0</v>
      </c>
      <c r="AN99" s="60">
        <f t="shared" si="36"/>
        <v>3838</v>
      </c>
      <c r="AO99" s="36">
        <f t="shared" ref="AO99:AO107" si="44">IF((AK99-AI99)&gt;min_s_shoqeror,ROUND((AK99-AI99)*s_shendetsor,0),min_s_shoqeror*s_shendetsor)</f>
        <v>687</v>
      </c>
      <c r="AP99" s="29">
        <v>0</v>
      </c>
      <c r="AQ99" s="36">
        <f t="shared" si="38"/>
        <v>0</v>
      </c>
      <c r="AR99" s="36">
        <f t="shared" si="21"/>
        <v>0</v>
      </c>
      <c r="AS99" s="36">
        <v>0</v>
      </c>
      <c r="AT99" s="36">
        <v>0</v>
      </c>
      <c r="AU99" s="36">
        <v>0</v>
      </c>
      <c r="AV99" s="66">
        <f t="shared" si="34"/>
        <v>4525</v>
      </c>
      <c r="AW99" s="277">
        <f t="shared" si="35"/>
        <v>35875</v>
      </c>
      <c r="AX99" s="66"/>
      <c r="AY99" s="66"/>
    </row>
    <row r="100" spans="1:51" ht="20.100000000000001" customHeight="1" x14ac:dyDescent="0.25">
      <c r="A100" s="21">
        <v>87</v>
      </c>
      <c r="B100" s="33" t="s">
        <v>262</v>
      </c>
      <c r="C100" s="532">
        <v>267912461</v>
      </c>
      <c r="D100" s="74" t="s">
        <v>140</v>
      </c>
      <c r="E100" s="12" t="s">
        <v>450</v>
      </c>
      <c r="F100" s="22" t="s">
        <v>106</v>
      </c>
      <c r="G100" s="76">
        <v>22</v>
      </c>
      <c r="H100" s="35">
        <v>0</v>
      </c>
      <c r="I100" s="35">
        <f t="shared" ref="I100:I107" si="45">IF(22-(G100+H100)&lt;0,"KUJDES",22-(G100+H100))</f>
        <v>0</v>
      </c>
      <c r="J100" s="77"/>
      <c r="K100" s="48">
        <f t="shared" ref="K100:K107" si="46">ROUND(J100*(G100/22),0)</f>
        <v>0</v>
      </c>
      <c r="L100" s="112"/>
      <c r="M100" s="309">
        <v>41000</v>
      </c>
      <c r="N100" s="48">
        <f t="shared" ref="N100:N107" si="47">ROUND(M100*(G100/22),0)</f>
        <v>41000</v>
      </c>
      <c r="O100" s="28">
        <f t="shared" ref="O100:O107" si="48">IF(22-(G100+H100)&lt;0,"GABIM",K100+N100+T100+V100+X100+Z100+AB100+AD100)</f>
        <v>41820</v>
      </c>
      <c r="P100" s="48">
        <f t="shared" ref="P100:P107" si="49">ROUND(O100*(H100/G100)*raport_mjekesor,0)</f>
        <v>0</v>
      </c>
      <c r="Q100" s="570">
        <f t="shared" ref="Q100:Q107" si="50">IF(R100&lt;=25,R100*1%,25%)</f>
        <v>0.02</v>
      </c>
      <c r="R100" s="77">
        <v>2</v>
      </c>
      <c r="S100" s="82" t="s">
        <v>96</v>
      </c>
      <c r="T100" s="496">
        <f t="shared" si="43"/>
        <v>820</v>
      </c>
      <c r="U100" s="31"/>
      <c r="V100" s="48">
        <f t="shared" ref="V100:V107" si="51">ROUND(U100*(G100/22),0)</f>
        <v>0</v>
      </c>
      <c r="W100" s="31"/>
      <c r="X100" s="48">
        <f t="shared" ref="X100:X107" si="52">ROUND(W100*(G100/22),0)</f>
        <v>0</v>
      </c>
      <c r="Y100" s="31"/>
      <c r="Z100" s="48">
        <f t="shared" ref="Z100:Z107" si="53">ROUND(Y100*(G100/22),0)</f>
        <v>0</v>
      </c>
      <c r="AA100" s="31"/>
      <c r="AB100" s="48">
        <f t="shared" ref="AB100:AB107" si="54">ROUND(AA100*(G100/22),0)</f>
        <v>0</v>
      </c>
      <c r="AC100" s="31">
        <v>0</v>
      </c>
      <c r="AD100" s="48">
        <f t="shared" ref="AD100:AD107" si="55">ROUND(AC100*(G100/22),0)</f>
        <v>0</v>
      </c>
      <c r="AE100" s="48">
        <v>0</v>
      </c>
      <c r="AF100" s="48">
        <v>0</v>
      </c>
      <c r="AG100" s="48">
        <v>0</v>
      </c>
      <c r="AH100" s="48">
        <v>0</v>
      </c>
      <c r="AI100" s="48">
        <v>0</v>
      </c>
      <c r="AJ100" s="280">
        <v>0</v>
      </c>
      <c r="AK100" s="283">
        <f t="shared" si="33"/>
        <v>41820</v>
      </c>
      <c r="AL100" s="60">
        <v>0</v>
      </c>
      <c r="AM100" s="60">
        <v>0</v>
      </c>
      <c r="AN100" s="60">
        <f t="shared" ref="AN100:AN107" si="56">ROUND(IF((AK100-AI100)&gt;max_s_shoqeror,(s_shoqeror*max_s_shoqeror),s_shoqeror*(AK100-AI100)),0)</f>
        <v>3973</v>
      </c>
      <c r="AO100" s="36">
        <f t="shared" si="44"/>
        <v>711</v>
      </c>
      <c r="AP100" s="30">
        <v>0</v>
      </c>
      <c r="AQ100" s="36">
        <f t="shared" ref="AQ100:AQ107" si="57">ROUND((AK100-AI100)*AP100,0)</f>
        <v>0</v>
      </c>
      <c r="AR100" s="26">
        <f t="shared" si="21"/>
        <v>0</v>
      </c>
      <c r="AS100" s="26">
        <v>0</v>
      </c>
      <c r="AT100" s="26">
        <v>0</v>
      </c>
      <c r="AU100" s="26">
        <v>0</v>
      </c>
      <c r="AV100" s="67">
        <f t="shared" ref="AV100:AV107" si="58">ROUND(AN100+AO100+AQ100+AR100+AS100+AT100+AU100+AX100+AY100,0)</f>
        <v>4684</v>
      </c>
      <c r="AW100" s="277">
        <f t="shared" si="35"/>
        <v>37136</v>
      </c>
      <c r="AX100" s="67"/>
      <c r="AY100" s="67"/>
    </row>
    <row r="101" spans="1:51" ht="20.100000000000001" customHeight="1" x14ac:dyDescent="0.25">
      <c r="A101" s="21">
        <v>88</v>
      </c>
      <c r="B101" s="33" t="s">
        <v>263</v>
      </c>
      <c r="C101" s="532">
        <v>783433340</v>
      </c>
      <c r="D101" s="74" t="s">
        <v>327</v>
      </c>
      <c r="E101" s="12" t="s">
        <v>451</v>
      </c>
      <c r="F101" s="22" t="s">
        <v>107</v>
      </c>
      <c r="G101" s="76">
        <v>22</v>
      </c>
      <c r="H101" s="35">
        <v>0</v>
      </c>
      <c r="I101" s="35">
        <f t="shared" si="45"/>
        <v>0</v>
      </c>
      <c r="J101" s="77"/>
      <c r="K101" s="48">
        <f t="shared" si="46"/>
        <v>0</v>
      </c>
      <c r="L101" s="112"/>
      <c r="M101" s="309">
        <v>41800</v>
      </c>
      <c r="N101" s="48">
        <f t="shared" si="47"/>
        <v>41800</v>
      </c>
      <c r="O101" s="28">
        <f t="shared" si="48"/>
        <v>43054</v>
      </c>
      <c r="P101" s="48">
        <f t="shared" si="49"/>
        <v>0</v>
      </c>
      <c r="Q101" s="570">
        <f t="shared" si="50"/>
        <v>0.03</v>
      </c>
      <c r="R101" s="77">
        <v>3</v>
      </c>
      <c r="S101" s="82" t="s">
        <v>96</v>
      </c>
      <c r="T101" s="496">
        <f t="shared" si="43"/>
        <v>1254</v>
      </c>
      <c r="U101" s="31"/>
      <c r="V101" s="48">
        <f t="shared" si="51"/>
        <v>0</v>
      </c>
      <c r="W101" s="31"/>
      <c r="X101" s="48">
        <f t="shared" si="52"/>
        <v>0</v>
      </c>
      <c r="Y101" s="31"/>
      <c r="Z101" s="48">
        <f t="shared" si="53"/>
        <v>0</v>
      </c>
      <c r="AA101" s="31"/>
      <c r="AB101" s="48">
        <f t="shared" si="54"/>
        <v>0</v>
      </c>
      <c r="AC101" s="31">
        <v>0</v>
      </c>
      <c r="AD101" s="48">
        <f t="shared" si="55"/>
        <v>0</v>
      </c>
      <c r="AE101" s="48">
        <v>0</v>
      </c>
      <c r="AF101" s="48">
        <v>0</v>
      </c>
      <c r="AG101" s="48">
        <v>0</v>
      </c>
      <c r="AH101" s="48">
        <v>0</v>
      </c>
      <c r="AI101" s="48">
        <v>0</v>
      </c>
      <c r="AJ101" s="280">
        <v>0</v>
      </c>
      <c r="AK101" s="283">
        <f t="shared" si="33"/>
        <v>43054</v>
      </c>
      <c r="AL101" s="60">
        <v>0</v>
      </c>
      <c r="AM101" s="60">
        <v>0</v>
      </c>
      <c r="AN101" s="60">
        <f t="shared" si="56"/>
        <v>4090</v>
      </c>
      <c r="AO101" s="36">
        <f t="shared" si="44"/>
        <v>732</v>
      </c>
      <c r="AP101" s="30">
        <v>0</v>
      </c>
      <c r="AQ101" s="36">
        <f t="shared" si="57"/>
        <v>0</v>
      </c>
      <c r="AR101" s="26">
        <f t="shared" si="21"/>
        <v>0</v>
      </c>
      <c r="AS101" s="26">
        <v>0</v>
      </c>
      <c r="AT101" s="26">
        <v>0</v>
      </c>
      <c r="AU101" s="26">
        <v>0</v>
      </c>
      <c r="AV101" s="67">
        <f t="shared" si="58"/>
        <v>4822</v>
      </c>
      <c r="AW101" s="277">
        <f t="shared" si="35"/>
        <v>38232</v>
      </c>
      <c r="AX101" s="67"/>
      <c r="AY101" s="67"/>
    </row>
    <row r="102" spans="1:51" ht="20.100000000000001" customHeight="1" x14ac:dyDescent="0.25">
      <c r="A102" s="21">
        <v>89</v>
      </c>
      <c r="B102" s="33" t="s">
        <v>264</v>
      </c>
      <c r="C102" s="532">
        <v>660732533</v>
      </c>
      <c r="D102" s="74" t="s">
        <v>330</v>
      </c>
      <c r="E102" s="12" t="s">
        <v>452</v>
      </c>
      <c r="F102" s="22" t="s">
        <v>108</v>
      </c>
      <c r="G102" s="76">
        <v>22</v>
      </c>
      <c r="H102" s="35">
        <v>0</v>
      </c>
      <c r="I102" s="35">
        <f t="shared" si="45"/>
        <v>0</v>
      </c>
      <c r="J102" s="77"/>
      <c r="K102" s="48">
        <f t="shared" si="46"/>
        <v>0</v>
      </c>
      <c r="L102" s="112"/>
      <c r="M102" s="309">
        <v>42500</v>
      </c>
      <c r="N102" s="48">
        <f t="shared" si="47"/>
        <v>42500</v>
      </c>
      <c r="O102" s="28">
        <f t="shared" si="48"/>
        <v>44200</v>
      </c>
      <c r="P102" s="48">
        <f t="shared" si="49"/>
        <v>0</v>
      </c>
      <c r="Q102" s="570">
        <f t="shared" si="50"/>
        <v>0.04</v>
      </c>
      <c r="R102" s="77">
        <v>4</v>
      </c>
      <c r="S102" s="82" t="s">
        <v>96</v>
      </c>
      <c r="T102" s="496">
        <f t="shared" si="43"/>
        <v>1700</v>
      </c>
      <c r="U102" s="31"/>
      <c r="V102" s="48">
        <f t="shared" si="51"/>
        <v>0</v>
      </c>
      <c r="W102" s="31"/>
      <c r="X102" s="48">
        <f t="shared" si="52"/>
        <v>0</v>
      </c>
      <c r="Y102" s="31"/>
      <c r="Z102" s="48">
        <f t="shared" si="53"/>
        <v>0</v>
      </c>
      <c r="AA102" s="31"/>
      <c r="AB102" s="48">
        <f t="shared" si="54"/>
        <v>0</v>
      </c>
      <c r="AC102" s="31">
        <v>0</v>
      </c>
      <c r="AD102" s="48">
        <f t="shared" si="55"/>
        <v>0</v>
      </c>
      <c r="AE102" s="48">
        <v>0</v>
      </c>
      <c r="AF102" s="48">
        <v>0</v>
      </c>
      <c r="AG102" s="48">
        <v>0</v>
      </c>
      <c r="AH102" s="48">
        <v>0</v>
      </c>
      <c r="AI102" s="48">
        <v>0</v>
      </c>
      <c r="AJ102" s="280">
        <v>0</v>
      </c>
      <c r="AK102" s="283">
        <f t="shared" si="33"/>
        <v>44200</v>
      </c>
      <c r="AL102" s="60">
        <v>0</v>
      </c>
      <c r="AM102" s="60">
        <v>0</v>
      </c>
      <c r="AN102" s="60">
        <f t="shared" si="56"/>
        <v>4199</v>
      </c>
      <c r="AO102" s="36">
        <f t="shared" si="44"/>
        <v>751</v>
      </c>
      <c r="AP102" s="30">
        <v>0</v>
      </c>
      <c r="AQ102" s="36">
        <f t="shared" si="57"/>
        <v>0</v>
      </c>
      <c r="AR102" s="26">
        <f t="shared" si="21"/>
        <v>0</v>
      </c>
      <c r="AS102" s="26">
        <v>0</v>
      </c>
      <c r="AT102" s="26">
        <v>0</v>
      </c>
      <c r="AU102" s="26">
        <v>0</v>
      </c>
      <c r="AV102" s="67">
        <f t="shared" si="58"/>
        <v>4950</v>
      </c>
      <c r="AW102" s="277">
        <f t="shared" si="35"/>
        <v>39250</v>
      </c>
      <c r="AX102" s="67"/>
      <c r="AY102" s="67"/>
    </row>
    <row r="103" spans="1:51" ht="20.100000000000001" customHeight="1" x14ac:dyDescent="0.25">
      <c r="A103" s="21">
        <v>90</v>
      </c>
      <c r="B103" s="33" t="s">
        <v>265</v>
      </c>
      <c r="C103" s="532">
        <v>496727364</v>
      </c>
      <c r="D103" s="74" t="s">
        <v>137</v>
      </c>
      <c r="E103" s="12" t="s">
        <v>453</v>
      </c>
      <c r="F103" s="22" t="s">
        <v>109</v>
      </c>
      <c r="G103" s="76">
        <v>22</v>
      </c>
      <c r="H103" s="35">
        <v>0</v>
      </c>
      <c r="I103" s="35">
        <f t="shared" si="45"/>
        <v>0</v>
      </c>
      <c r="J103" s="77"/>
      <c r="K103" s="48">
        <f t="shared" si="46"/>
        <v>0</v>
      </c>
      <c r="L103" s="112"/>
      <c r="M103" s="309">
        <v>43000</v>
      </c>
      <c r="N103" s="48">
        <f t="shared" si="47"/>
        <v>43000</v>
      </c>
      <c r="O103" s="28">
        <f t="shared" si="48"/>
        <v>45150</v>
      </c>
      <c r="P103" s="48">
        <f t="shared" si="49"/>
        <v>0</v>
      </c>
      <c r="Q103" s="570">
        <f t="shared" si="50"/>
        <v>0.05</v>
      </c>
      <c r="R103" s="77">
        <v>5</v>
      </c>
      <c r="S103" s="82" t="s">
        <v>96</v>
      </c>
      <c r="T103" s="496">
        <f t="shared" si="43"/>
        <v>2150</v>
      </c>
      <c r="U103" s="31"/>
      <c r="V103" s="48">
        <f t="shared" si="51"/>
        <v>0</v>
      </c>
      <c r="W103" s="31"/>
      <c r="X103" s="48">
        <f t="shared" si="52"/>
        <v>0</v>
      </c>
      <c r="Y103" s="31"/>
      <c r="Z103" s="48">
        <f t="shared" si="53"/>
        <v>0</v>
      </c>
      <c r="AA103" s="31"/>
      <c r="AB103" s="48">
        <f t="shared" si="54"/>
        <v>0</v>
      </c>
      <c r="AC103" s="31">
        <v>0</v>
      </c>
      <c r="AD103" s="48">
        <f t="shared" si="55"/>
        <v>0</v>
      </c>
      <c r="AE103" s="48">
        <v>0</v>
      </c>
      <c r="AF103" s="48">
        <v>0</v>
      </c>
      <c r="AG103" s="48">
        <v>0</v>
      </c>
      <c r="AH103" s="48">
        <v>0</v>
      </c>
      <c r="AI103" s="48">
        <v>0</v>
      </c>
      <c r="AJ103" s="280">
        <v>0</v>
      </c>
      <c r="AK103" s="283">
        <f t="shared" si="33"/>
        <v>45150</v>
      </c>
      <c r="AL103" s="60">
        <v>0</v>
      </c>
      <c r="AM103" s="60">
        <v>0</v>
      </c>
      <c r="AN103" s="60">
        <f t="shared" si="56"/>
        <v>4289</v>
      </c>
      <c r="AO103" s="36">
        <f t="shared" si="44"/>
        <v>768</v>
      </c>
      <c r="AP103" s="30">
        <v>0</v>
      </c>
      <c r="AQ103" s="36">
        <f t="shared" si="57"/>
        <v>0</v>
      </c>
      <c r="AR103" s="26">
        <f t="shared" si="21"/>
        <v>0</v>
      </c>
      <c r="AS103" s="26">
        <v>0</v>
      </c>
      <c r="AT103" s="26">
        <v>0</v>
      </c>
      <c r="AU103" s="26">
        <v>0</v>
      </c>
      <c r="AV103" s="67">
        <f t="shared" si="58"/>
        <v>5057</v>
      </c>
      <c r="AW103" s="277">
        <f t="shared" si="35"/>
        <v>40093</v>
      </c>
      <c r="AX103" s="67"/>
      <c r="AY103" s="67"/>
    </row>
    <row r="104" spans="1:51" ht="20.100000000000001" customHeight="1" x14ac:dyDescent="0.25">
      <c r="A104" s="21">
        <v>91</v>
      </c>
      <c r="B104" s="33" t="s">
        <v>266</v>
      </c>
      <c r="C104" s="532">
        <v>715426563</v>
      </c>
      <c r="D104" s="74" t="s">
        <v>328</v>
      </c>
      <c r="E104" s="12" t="s">
        <v>454</v>
      </c>
      <c r="F104" s="22" t="s">
        <v>110</v>
      </c>
      <c r="G104" s="76">
        <v>22</v>
      </c>
      <c r="H104" s="35">
        <v>0</v>
      </c>
      <c r="I104" s="35">
        <f t="shared" si="45"/>
        <v>0</v>
      </c>
      <c r="J104" s="77"/>
      <c r="K104" s="48">
        <f t="shared" si="46"/>
        <v>0</v>
      </c>
      <c r="L104" s="112"/>
      <c r="M104" s="309">
        <v>44000</v>
      </c>
      <c r="N104" s="48">
        <f t="shared" si="47"/>
        <v>44000</v>
      </c>
      <c r="O104" s="28">
        <f t="shared" si="48"/>
        <v>46640</v>
      </c>
      <c r="P104" s="48">
        <f t="shared" si="49"/>
        <v>0</v>
      </c>
      <c r="Q104" s="570">
        <f t="shared" si="50"/>
        <v>0.06</v>
      </c>
      <c r="R104" s="77">
        <v>6</v>
      </c>
      <c r="S104" s="82" t="s">
        <v>96</v>
      </c>
      <c r="T104" s="496">
        <f t="shared" si="43"/>
        <v>2640</v>
      </c>
      <c r="U104" s="31"/>
      <c r="V104" s="48">
        <f t="shared" si="51"/>
        <v>0</v>
      </c>
      <c r="W104" s="31"/>
      <c r="X104" s="48">
        <f t="shared" si="52"/>
        <v>0</v>
      </c>
      <c r="Y104" s="31"/>
      <c r="Z104" s="48">
        <f t="shared" si="53"/>
        <v>0</v>
      </c>
      <c r="AA104" s="31"/>
      <c r="AB104" s="48">
        <f t="shared" si="54"/>
        <v>0</v>
      </c>
      <c r="AC104" s="31">
        <v>0</v>
      </c>
      <c r="AD104" s="48">
        <f t="shared" si="55"/>
        <v>0</v>
      </c>
      <c r="AE104" s="48">
        <v>0</v>
      </c>
      <c r="AF104" s="48">
        <v>0</v>
      </c>
      <c r="AG104" s="48">
        <v>0</v>
      </c>
      <c r="AH104" s="48">
        <v>0</v>
      </c>
      <c r="AI104" s="48">
        <v>0</v>
      </c>
      <c r="AJ104" s="280">
        <v>0</v>
      </c>
      <c r="AK104" s="283">
        <f t="shared" si="33"/>
        <v>46640</v>
      </c>
      <c r="AL104" s="60">
        <v>0</v>
      </c>
      <c r="AM104" s="60">
        <v>0</v>
      </c>
      <c r="AN104" s="60">
        <f t="shared" si="56"/>
        <v>4431</v>
      </c>
      <c r="AO104" s="36">
        <f t="shared" si="44"/>
        <v>793</v>
      </c>
      <c r="AP104" s="30">
        <v>0</v>
      </c>
      <c r="AQ104" s="36">
        <f t="shared" si="57"/>
        <v>0</v>
      </c>
      <c r="AR104" s="26">
        <f t="shared" si="21"/>
        <v>0</v>
      </c>
      <c r="AS104" s="26">
        <v>0</v>
      </c>
      <c r="AT104" s="26">
        <v>0</v>
      </c>
      <c r="AU104" s="26">
        <v>0</v>
      </c>
      <c r="AV104" s="67">
        <f t="shared" si="58"/>
        <v>5224</v>
      </c>
      <c r="AW104" s="277">
        <f t="shared" si="35"/>
        <v>41416</v>
      </c>
      <c r="AX104" s="67"/>
      <c r="AY104" s="67"/>
    </row>
    <row r="105" spans="1:51" ht="20.100000000000001" customHeight="1" x14ac:dyDescent="0.25">
      <c r="A105" s="21">
        <v>92</v>
      </c>
      <c r="B105" s="33" t="s">
        <v>267</v>
      </c>
      <c r="C105" s="532">
        <v>208317384</v>
      </c>
      <c r="D105" s="74" t="s">
        <v>329</v>
      </c>
      <c r="E105" s="12" t="s">
        <v>455</v>
      </c>
      <c r="F105" s="22" t="s">
        <v>111</v>
      </c>
      <c r="G105" s="76">
        <v>22</v>
      </c>
      <c r="H105" s="35">
        <v>0</v>
      </c>
      <c r="I105" s="35">
        <f t="shared" si="45"/>
        <v>0</v>
      </c>
      <c r="J105" s="77"/>
      <c r="K105" s="48">
        <f t="shared" si="46"/>
        <v>0</v>
      </c>
      <c r="L105" s="112"/>
      <c r="M105" s="309">
        <v>45500</v>
      </c>
      <c r="N105" s="48">
        <f t="shared" si="47"/>
        <v>45500</v>
      </c>
      <c r="O105" s="28">
        <f t="shared" si="48"/>
        <v>48685</v>
      </c>
      <c r="P105" s="48">
        <f t="shared" si="49"/>
        <v>0</v>
      </c>
      <c r="Q105" s="570">
        <f t="shared" si="50"/>
        <v>7.0000000000000007E-2</v>
      </c>
      <c r="R105" s="77">
        <v>7</v>
      </c>
      <c r="S105" s="82" t="s">
        <v>96</v>
      </c>
      <c r="T105" s="496">
        <f t="shared" si="43"/>
        <v>3185</v>
      </c>
      <c r="U105" s="31"/>
      <c r="V105" s="48">
        <f t="shared" si="51"/>
        <v>0</v>
      </c>
      <c r="W105" s="31"/>
      <c r="X105" s="48">
        <f t="shared" si="52"/>
        <v>0</v>
      </c>
      <c r="Y105" s="31"/>
      <c r="Z105" s="48">
        <f t="shared" si="53"/>
        <v>0</v>
      </c>
      <c r="AA105" s="31"/>
      <c r="AB105" s="48">
        <f t="shared" si="54"/>
        <v>0</v>
      </c>
      <c r="AC105" s="31">
        <v>0</v>
      </c>
      <c r="AD105" s="48">
        <f t="shared" si="55"/>
        <v>0</v>
      </c>
      <c r="AE105" s="48">
        <v>0</v>
      </c>
      <c r="AF105" s="48">
        <v>0</v>
      </c>
      <c r="AG105" s="48">
        <v>0</v>
      </c>
      <c r="AH105" s="48">
        <v>0</v>
      </c>
      <c r="AI105" s="48">
        <v>0</v>
      </c>
      <c r="AJ105" s="280">
        <v>0</v>
      </c>
      <c r="AK105" s="283">
        <f t="shared" si="33"/>
        <v>48685</v>
      </c>
      <c r="AL105" s="60">
        <v>0</v>
      </c>
      <c r="AM105" s="60">
        <v>0</v>
      </c>
      <c r="AN105" s="60">
        <f t="shared" si="56"/>
        <v>4625</v>
      </c>
      <c r="AO105" s="36">
        <f t="shared" si="44"/>
        <v>828</v>
      </c>
      <c r="AP105" s="30">
        <v>0</v>
      </c>
      <c r="AQ105" s="36">
        <f t="shared" si="57"/>
        <v>0</v>
      </c>
      <c r="AR105" s="26">
        <f t="shared" si="21"/>
        <v>0</v>
      </c>
      <c r="AS105" s="26">
        <v>0</v>
      </c>
      <c r="AT105" s="26">
        <v>0</v>
      </c>
      <c r="AU105" s="26">
        <v>0</v>
      </c>
      <c r="AV105" s="67">
        <f t="shared" si="58"/>
        <v>5453</v>
      </c>
      <c r="AW105" s="277">
        <f t="shared" si="35"/>
        <v>43232</v>
      </c>
      <c r="AX105" s="67"/>
      <c r="AY105" s="67"/>
    </row>
    <row r="106" spans="1:51" ht="20.100000000000001" customHeight="1" x14ac:dyDescent="0.25">
      <c r="A106" s="21">
        <v>93</v>
      </c>
      <c r="B106" s="33" t="s">
        <v>268</v>
      </c>
      <c r="C106" s="532">
        <v>974381011</v>
      </c>
      <c r="D106" s="74" t="s">
        <v>138</v>
      </c>
      <c r="E106" s="12" t="s">
        <v>456</v>
      </c>
      <c r="F106" s="22" t="s">
        <v>112</v>
      </c>
      <c r="G106" s="76">
        <v>22</v>
      </c>
      <c r="H106" s="35">
        <v>0</v>
      </c>
      <c r="I106" s="35">
        <f t="shared" si="45"/>
        <v>0</v>
      </c>
      <c r="J106" s="77"/>
      <c r="K106" s="48">
        <f t="shared" si="46"/>
        <v>0</v>
      </c>
      <c r="L106" s="112"/>
      <c r="M106" s="309">
        <v>46300</v>
      </c>
      <c r="N106" s="48">
        <f t="shared" si="47"/>
        <v>46300</v>
      </c>
      <c r="O106" s="28">
        <f t="shared" si="48"/>
        <v>50004</v>
      </c>
      <c r="P106" s="48">
        <f t="shared" si="49"/>
        <v>0</v>
      </c>
      <c r="Q106" s="570">
        <f t="shared" si="50"/>
        <v>0.08</v>
      </c>
      <c r="R106" s="77">
        <v>8</v>
      </c>
      <c r="S106" s="82" t="s">
        <v>96</v>
      </c>
      <c r="T106" s="496">
        <f t="shared" si="43"/>
        <v>3704</v>
      </c>
      <c r="U106" s="31"/>
      <c r="V106" s="48">
        <f t="shared" si="51"/>
        <v>0</v>
      </c>
      <c r="W106" s="31"/>
      <c r="X106" s="48">
        <f t="shared" si="52"/>
        <v>0</v>
      </c>
      <c r="Y106" s="31"/>
      <c r="Z106" s="48">
        <f t="shared" si="53"/>
        <v>0</v>
      </c>
      <c r="AA106" s="31"/>
      <c r="AB106" s="48">
        <f t="shared" si="54"/>
        <v>0</v>
      </c>
      <c r="AC106" s="31">
        <v>0</v>
      </c>
      <c r="AD106" s="48">
        <f t="shared" si="55"/>
        <v>0</v>
      </c>
      <c r="AE106" s="48">
        <v>0</v>
      </c>
      <c r="AF106" s="48">
        <v>0</v>
      </c>
      <c r="AG106" s="48">
        <v>0</v>
      </c>
      <c r="AH106" s="48">
        <v>0</v>
      </c>
      <c r="AI106" s="48">
        <v>0</v>
      </c>
      <c r="AJ106" s="280">
        <v>0</v>
      </c>
      <c r="AK106" s="283">
        <f t="shared" si="33"/>
        <v>50004</v>
      </c>
      <c r="AL106" s="60">
        <v>0</v>
      </c>
      <c r="AM106" s="60">
        <v>0</v>
      </c>
      <c r="AN106" s="60">
        <f t="shared" si="56"/>
        <v>4750</v>
      </c>
      <c r="AO106" s="36">
        <f t="shared" si="44"/>
        <v>850</v>
      </c>
      <c r="AP106" s="30">
        <v>0</v>
      </c>
      <c r="AQ106" s="36">
        <f t="shared" si="57"/>
        <v>0</v>
      </c>
      <c r="AR106" s="26">
        <f t="shared" si="21"/>
        <v>1951</v>
      </c>
      <c r="AS106" s="26">
        <v>0</v>
      </c>
      <c r="AT106" s="26">
        <v>0</v>
      </c>
      <c r="AU106" s="26">
        <v>0</v>
      </c>
      <c r="AV106" s="67">
        <f t="shared" si="58"/>
        <v>7551</v>
      </c>
      <c r="AW106" s="277">
        <f t="shared" si="35"/>
        <v>42453</v>
      </c>
      <c r="AX106" s="67"/>
      <c r="AY106" s="67"/>
    </row>
    <row r="107" spans="1:51" ht="20.100000000000001" customHeight="1" x14ac:dyDescent="0.25">
      <c r="A107" s="21">
        <v>94</v>
      </c>
      <c r="B107" s="33" t="s">
        <v>269</v>
      </c>
      <c r="C107" s="532">
        <v>776588522</v>
      </c>
      <c r="D107" s="74" t="s">
        <v>135</v>
      </c>
      <c r="E107" s="12" t="s">
        <v>457</v>
      </c>
      <c r="F107" s="22" t="s">
        <v>113</v>
      </c>
      <c r="G107" s="76">
        <v>22</v>
      </c>
      <c r="H107" s="35">
        <v>0</v>
      </c>
      <c r="I107" s="35">
        <f t="shared" si="45"/>
        <v>0</v>
      </c>
      <c r="J107" s="77"/>
      <c r="K107" s="48">
        <f t="shared" si="46"/>
        <v>0</v>
      </c>
      <c r="L107" s="112"/>
      <c r="M107" s="309">
        <v>47000</v>
      </c>
      <c r="N107" s="48">
        <f t="shared" si="47"/>
        <v>47000</v>
      </c>
      <c r="O107" s="28">
        <f t="shared" si="48"/>
        <v>51230</v>
      </c>
      <c r="P107" s="48">
        <f t="shared" si="49"/>
        <v>0</v>
      </c>
      <c r="Q107" s="570">
        <f t="shared" si="50"/>
        <v>0.09</v>
      </c>
      <c r="R107" s="77">
        <v>9</v>
      </c>
      <c r="S107" s="82" t="s">
        <v>96</v>
      </c>
      <c r="T107" s="496">
        <f t="shared" si="43"/>
        <v>4230</v>
      </c>
      <c r="U107" s="31"/>
      <c r="V107" s="48">
        <f t="shared" si="51"/>
        <v>0</v>
      </c>
      <c r="W107" s="31"/>
      <c r="X107" s="48">
        <f t="shared" si="52"/>
        <v>0</v>
      </c>
      <c r="Y107" s="31"/>
      <c r="Z107" s="48">
        <f t="shared" si="53"/>
        <v>0</v>
      </c>
      <c r="AA107" s="31"/>
      <c r="AB107" s="48">
        <f t="shared" si="54"/>
        <v>0</v>
      </c>
      <c r="AC107" s="31">
        <v>0</v>
      </c>
      <c r="AD107" s="48">
        <f t="shared" si="55"/>
        <v>0</v>
      </c>
      <c r="AE107" s="48">
        <v>0</v>
      </c>
      <c r="AF107" s="48">
        <v>0</v>
      </c>
      <c r="AG107" s="48">
        <v>0</v>
      </c>
      <c r="AH107" s="48">
        <v>0</v>
      </c>
      <c r="AI107" s="48">
        <v>0</v>
      </c>
      <c r="AJ107" s="280">
        <v>0</v>
      </c>
      <c r="AK107" s="283">
        <f t="shared" si="33"/>
        <v>51230</v>
      </c>
      <c r="AL107" s="60">
        <v>0</v>
      </c>
      <c r="AM107" s="60">
        <v>0</v>
      </c>
      <c r="AN107" s="60">
        <f t="shared" si="56"/>
        <v>4867</v>
      </c>
      <c r="AO107" s="36">
        <f t="shared" si="44"/>
        <v>871</v>
      </c>
      <c r="AP107" s="30">
        <v>0</v>
      </c>
      <c r="AQ107" s="36">
        <f t="shared" si="57"/>
        <v>0</v>
      </c>
      <c r="AR107" s="26">
        <f t="shared" si="21"/>
        <v>2110</v>
      </c>
      <c r="AS107" s="26">
        <v>0</v>
      </c>
      <c r="AT107" s="26">
        <v>0</v>
      </c>
      <c r="AU107" s="26">
        <v>0</v>
      </c>
      <c r="AV107" s="67">
        <f t="shared" si="58"/>
        <v>7848</v>
      </c>
      <c r="AW107" s="277">
        <f t="shared" si="35"/>
        <v>43382</v>
      </c>
      <c r="AX107" s="67"/>
      <c r="AY107" s="67"/>
    </row>
    <row r="108" spans="1:51" ht="19.5" customHeight="1" x14ac:dyDescent="0.25">
      <c r="A108" s="21"/>
      <c r="B108" s="33"/>
      <c r="C108" s="252"/>
      <c r="D108" s="74"/>
      <c r="E108" s="12"/>
      <c r="F108" s="22"/>
      <c r="G108" s="76"/>
      <c r="H108" s="35"/>
      <c r="I108" s="35"/>
      <c r="J108" s="77"/>
      <c r="K108" s="48"/>
      <c r="L108" s="112"/>
      <c r="M108" s="78"/>
      <c r="N108" s="48"/>
      <c r="O108" s="28"/>
      <c r="P108" s="48"/>
      <c r="Q108" s="451"/>
      <c r="R108" s="77"/>
      <c r="S108" s="82"/>
      <c r="T108" s="48"/>
      <c r="U108" s="31"/>
      <c r="V108" s="48"/>
      <c r="W108" s="31"/>
      <c r="X108" s="48"/>
      <c r="Y108" s="31"/>
      <c r="Z108" s="48"/>
      <c r="AA108" s="31"/>
      <c r="AB108" s="48"/>
      <c r="AC108" s="31"/>
      <c r="AD108" s="48"/>
      <c r="AE108" s="48"/>
      <c r="AF108" s="48"/>
      <c r="AG108" s="48"/>
      <c r="AH108" s="48"/>
      <c r="AI108" s="48"/>
      <c r="AJ108" s="280"/>
      <c r="AK108" s="283"/>
      <c r="AL108" s="60"/>
      <c r="AM108" s="60"/>
      <c r="AN108" s="60"/>
      <c r="AO108" s="36"/>
      <c r="AP108" s="30"/>
      <c r="AQ108" s="36"/>
      <c r="AR108" s="26"/>
      <c r="AS108" s="26"/>
      <c r="AT108" s="26"/>
      <c r="AU108" s="26"/>
      <c r="AV108" s="67"/>
      <c r="AW108" s="278"/>
      <c r="AX108" s="67"/>
      <c r="AY108" s="67"/>
    </row>
    <row r="109" spans="1:51" ht="20.100000000000001" customHeight="1" x14ac:dyDescent="0.25">
      <c r="A109" s="21"/>
      <c r="B109" s="33"/>
      <c r="C109" s="252"/>
      <c r="D109" s="74"/>
      <c r="E109" s="12"/>
      <c r="F109" s="22"/>
      <c r="G109" s="76"/>
      <c r="H109" s="35"/>
      <c r="I109" s="35"/>
      <c r="J109" s="77"/>
      <c r="K109" s="48"/>
      <c r="L109" s="112"/>
      <c r="M109" s="78"/>
      <c r="N109" s="48"/>
      <c r="O109" s="28"/>
      <c r="P109" s="48"/>
      <c r="Q109" s="451"/>
      <c r="R109" s="77"/>
      <c r="S109" s="82"/>
      <c r="T109" s="48"/>
      <c r="U109" s="31"/>
      <c r="V109" s="48"/>
      <c r="W109" s="31"/>
      <c r="X109" s="48"/>
      <c r="Y109" s="31"/>
      <c r="Z109" s="48"/>
      <c r="AA109" s="31"/>
      <c r="AB109" s="48"/>
      <c r="AC109" s="31"/>
      <c r="AD109" s="48"/>
      <c r="AE109" s="48"/>
      <c r="AF109" s="48"/>
      <c r="AG109" s="48"/>
      <c r="AH109" s="48"/>
      <c r="AI109" s="48"/>
      <c r="AJ109" s="280"/>
      <c r="AK109" s="283"/>
      <c r="AL109" s="60"/>
      <c r="AM109" s="60"/>
      <c r="AN109" s="60"/>
      <c r="AO109" s="36"/>
      <c r="AP109" s="30"/>
      <c r="AQ109" s="36"/>
      <c r="AR109" s="26"/>
      <c r="AS109" s="26"/>
      <c r="AT109" s="26"/>
      <c r="AU109" s="26"/>
      <c r="AV109" s="67"/>
      <c r="AW109" s="278"/>
      <c r="AX109" s="67"/>
      <c r="AY109" s="67"/>
    </row>
    <row r="110" spans="1:51" ht="20.100000000000001" customHeight="1" x14ac:dyDescent="0.25">
      <c r="A110" s="21"/>
      <c r="B110" s="33"/>
      <c r="C110" s="252"/>
      <c r="D110" s="74"/>
      <c r="E110" s="12"/>
      <c r="F110" s="22"/>
      <c r="G110" s="76"/>
      <c r="H110" s="35"/>
      <c r="I110" s="35"/>
      <c r="J110" s="77"/>
      <c r="K110" s="48"/>
      <c r="L110" s="112"/>
      <c r="M110" s="78"/>
      <c r="N110" s="48"/>
      <c r="O110" s="28"/>
      <c r="P110" s="48"/>
      <c r="Q110" s="451"/>
      <c r="R110" s="77"/>
      <c r="S110" s="82"/>
      <c r="T110" s="48"/>
      <c r="U110" s="31"/>
      <c r="V110" s="48"/>
      <c r="W110" s="31"/>
      <c r="X110" s="48"/>
      <c r="Y110" s="31"/>
      <c r="Z110" s="48"/>
      <c r="AA110" s="31"/>
      <c r="AB110" s="48"/>
      <c r="AC110" s="31"/>
      <c r="AD110" s="48"/>
      <c r="AE110" s="48"/>
      <c r="AF110" s="48"/>
      <c r="AG110" s="48"/>
      <c r="AH110" s="48"/>
      <c r="AI110" s="48"/>
      <c r="AJ110" s="280"/>
      <c r="AK110" s="283"/>
      <c r="AL110" s="60"/>
      <c r="AM110" s="60"/>
      <c r="AN110" s="60"/>
      <c r="AO110" s="36"/>
      <c r="AP110" s="30"/>
      <c r="AQ110" s="36"/>
      <c r="AR110" s="26"/>
      <c r="AS110" s="26"/>
      <c r="AT110" s="26"/>
      <c r="AU110" s="26"/>
      <c r="AV110" s="67"/>
      <c r="AW110" s="278"/>
      <c r="AX110" s="67"/>
      <c r="AY110" s="67"/>
    </row>
    <row r="111" spans="1:51" ht="20.100000000000001" customHeight="1" x14ac:dyDescent="0.25">
      <c r="A111" s="21"/>
      <c r="B111" s="33"/>
      <c r="C111" s="252"/>
      <c r="D111" s="74"/>
      <c r="E111" s="12"/>
      <c r="F111" s="22"/>
      <c r="G111" s="76"/>
      <c r="H111" s="35"/>
      <c r="I111" s="35"/>
      <c r="J111" s="77"/>
      <c r="K111" s="48"/>
      <c r="L111" s="112"/>
      <c r="M111" s="78"/>
      <c r="N111" s="48"/>
      <c r="O111" s="28"/>
      <c r="P111" s="48"/>
      <c r="Q111" s="451"/>
      <c r="R111" s="77"/>
      <c r="S111" s="82"/>
      <c r="T111" s="48"/>
      <c r="U111" s="31"/>
      <c r="V111" s="48"/>
      <c r="W111" s="31"/>
      <c r="X111" s="48"/>
      <c r="Y111" s="31"/>
      <c r="Z111" s="48"/>
      <c r="AA111" s="31"/>
      <c r="AB111" s="48"/>
      <c r="AC111" s="31"/>
      <c r="AD111" s="48"/>
      <c r="AE111" s="48"/>
      <c r="AF111" s="48"/>
      <c r="AG111" s="48"/>
      <c r="AH111" s="48"/>
      <c r="AI111" s="48"/>
      <c r="AJ111" s="280"/>
      <c r="AK111" s="283"/>
      <c r="AL111" s="60"/>
      <c r="AM111" s="60"/>
      <c r="AN111" s="60"/>
      <c r="AO111" s="36"/>
      <c r="AP111" s="30"/>
      <c r="AQ111" s="36"/>
      <c r="AR111" s="26"/>
      <c r="AS111" s="26"/>
      <c r="AT111" s="26"/>
      <c r="AU111" s="26"/>
      <c r="AV111" s="67"/>
      <c r="AW111" s="278"/>
      <c r="AX111" s="67"/>
      <c r="AY111" s="67"/>
    </row>
    <row r="112" spans="1:51" ht="20.100000000000001" customHeight="1" x14ac:dyDescent="0.25">
      <c r="A112" s="21"/>
      <c r="B112" s="33"/>
      <c r="C112" s="252"/>
      <c r="D112" s="74"/>
      <c r="E112" s="12"/>
      <c r="F112" s="22"/>
      <c r="G112" s="76"/>
      <c r="H112" s="35"/>
      <c r="I112" s="35"/>
      <c r="J112" s="77"/>
      <c r="K112" s="48"/>
      <c r="L112" s="112"/>
      <c r="M112" s="78"/>
      <c r="N112" s="48"/>
      <c r="O112" s="28"/>
      <c r="P112" s="48"/>
      <c r="Q112" s="451"/>
      <c r="R112" s="77"/>
      <c r="S112" s="82"/>
      <c r="T112" s="48"/>
      <c r="U112" s="31"/>
      <c r="V112" s="48"/>
      <c r="W112" s="31"/>
      <c r="X112" s="48"/>
      <c r="Y112" s="31"/>
      <c r="Z112" s="48"/>
      <c r="AA112" s="31"/>
      <c r="AB112" s="48"/>
      <c r="AC112" s="31"/>
      <c r="AD112" s="48"/>
      <c r="AE112" s="48"/>
      <c r="AF112" s="48"/>
      <c r="AG112" s="48"/>
      <c r="AH112" s="48"/>
      <c r="AI112" s="48"/>
      <c r="AJ112" s="280"/>
      <c r="AK112" s="283"/>
      <c r="AL112" s="60"/>
      <c r="AM112" s="60"/>
      <c r="AN112" s="60"/>
      <c r="AO112" s="36"/>
      <c r="AP112" s="30"/>
      <c r="AQ112" s="36"/>
      <c r="AR112" s="26"/>
      <c r="AS112" s="26"/>
      <c r="AT112" s="26"/>
      <c r="AU112" s="26"/>
      <c r="AV112" s="67"/>
      <c r="AW112" s="278"/>
      <c r="AX112" s="67"/>
      <c r="AY112" s="67"/>
    </row>
    <row r="113" spans="1:51" ht="20.100000000000001" customHeight="1" thickBot="1" x14ac:dyDescent="0.3">
      <c r="A113" s="137"/>
      <c r="B113" s="138"/>
      <c r="C113" s="252"/>
      <c r="D113" s="74"/>
      <c r="E113" s="139"/>
      <c r="F113" s="140"/>
      <c r="G113" s="141"/>
      <c r="H113" s="87"/>
      <c r="I113" s="87"/>
      <c r="J113" s="142"/>
      <c r="K113" s="88"/>
      <c r="L113" s="143"/>
      <c r="M113" s="144"/>
      <c r="N113" s="88"/>
      <c r="O113" s="87"/>
      <c r="P113" s="88"/>
      <c r="Q113" s="451"/>
      <c r="R113" s="77"/>
      <c r="S113" s="145"/>
      <c r="T113" s="88"/>
      <c r="U113" s="146"/>
      <c r="V113" s="88"/>
      <c r="W113" s="146"/>
      <c r="X113" s="88"/>
      <c r="Y113" s="146"/>
      <c r="Z113" s="88"/>
      <c r="AA113" s="146"/>
      <c r="AB113" s="88"/>
      <c r="AC113" s="146"/>
      <c r="AD113" s="88"/>
      <c r="AE113" s="88"/>
      <c r="AF113" s="88"/>
      <c r="AG113" s="88"/>
      <c r="AH113" s="88"/>
      <c r="AI113" s="88"/>
      <c r="AJ113" s="288"/>
      <c r="AK113" s="290"/>
      <c r="AL113" s="147"/>
      <c r="AM113" s="147"/>
      <c r="AN113" s="147"/>
      <c r="AO113" s="91"/>
      <c r="AP113" s="90"/>
      <c r="AQ113" s="91"/>
      <c r="AR113" s="26"/>
      <c r="AS113" s="89"/>
      <c r="AT113" s="89"/>
      <c r="AU113" s="89"/>
      <c r="AV113" s="148"/>
      <c r="AW113" s="279"/>
      <c r="AX113" s="148"/>
      <c r="AY113" s="148"/>
    </row>
    <row r="114" spans="1:51" s="133" customFormat="1" ht="24" customHeight="1" x14ac:dyDescent="0.25">
      <c r="A114" s="149"/>
      <c r="B114" s="150" t="s">
        <v>171</v>
      </c>
      <c r="C114" s="151"/>
      <c r="D114" s="151"/>
      <c r="E114" s="151"/>
      <c r="F114" s="151"/>
      <c r="G114" s="151"/>
      <c r="H114" s="151"/>
      <c r="I114" s="151"/>
      <c r="J114" s="151"/>
      <c r="K114" s="151"/>
      <c r="L114" s="151"/>
      <c r="M114" s="151"/>
      <c r="N114" s="151"/>
      <c r="O114" s="151"/>
      <c r="P114" s="151"/>
      <c r="Q114" s="151"/>
      <c r="R114" s="151"/>
      <c r="S114" s="151"/>
      <c r="T114" s="151"/>
      <c r="U114" s="151"/>
      <c r="V114" s="151"/>
      <c r="W114" s="151"/>
      <c r="X114" s="151"/>
      <c r="Y114" s="151"/>
      <c r="Z114" s="151"/>
      <c r="AA114" s="151"/>
      <c r="AB114" s="151"/>
      <c r="AC114" s="151"/>
      <c r="AD114" s="151"/>
      <c r="AE114" s="151"/>
      <c r="AF114" s="151"/>
      <c r="AG114" s="151"/>
      <c r="AH114" s="151"/>
      <c r="AI114" s="151"/>
      <c r="AJ114" s="289"/>
      <c r="AK114" s="291">
        <f t="shared" ref="AK114:AY114" si="59">SUM(AK10:AK113)</f>
        <v>18056207</v>
      </c>
      <c r="AL114" s="157"/>
      <c r="AM114" s="157"/>
      <c r="AN114" s="157"/>
      <c r="AO114" s="157"/>
      <c r="AP114" s="157"/>
      <c r="AQ114" s="157"/>
      <c r="AR114" s="157"/>
      <c r="AS114" s="157"/>
      <c r="AT114" s="157"/>
      <c r="AU114" s="157"/>
      <c r="AV114" s="157"/>
      <c r="AW114" s="292">
        <f t="shared" si="59"/>
        <v>14090821</v>
      </c>
      <c r="AX114" s="158">
        <f t="shared" si="59"/>
        <v>0</v>
      </c>
      <c r="AY114" s="158">
        <f t="shared" si="59"/>
        <v>0</v>
      </c>
    </row>
    <row r="115" spans="1:51" x14ac:dyDescent="0.25">
      <c r="R115" s="1"/>
      <c r="S115" s="1"/>
    </row>
    <row r="116" spans="1:51" x14ac:dyDescent="0.25">
      <c r="R116" s="1"/>
      <c r="S116" s="1"/>
    </row>
  </sheetData>
  <mergeCells count="3">
    <mergeCell ref="A3:B4"/>
    <mergeCell ref="A1:B1"/>
    <mergeCell ref="A2:B2"/>
  </mergeCells>
  <phoneticPr fontId="71" type="noConversion"/>
  <dataValidations count="3">
    <dataValidation type="whole" allowBlank="1" showInputMessage="1" showErrorMessage="1" errorTitle="Dite Pune" error="Maksimumi 22!" sqref="G10:G113" xr:uid="{00000000-0002-0000-0100-000000000000}">
      <formula1>0</formula1>
      <formula2>22</formula2>
    </dataValidation>
    <dataValidation type="list" allowBlank="1" showInputMessage="1" showErrorMessage="1" promptTitle="BANKA" prompt="Zgjidh emrin e Bankes nga lista !" sqref="D10:D113" xr:uid="{00000000-0002-0000-0100-000001000000}">
      <formula1>lista_e_bankave</formula1>
    </dataValidation>
    <dataValidation type="whole" allowBlank="1" showInputMessage="1" showErrorMessage="1" errorTitle="Dite me Raport Mjeksor" error="Maksimumi 14!" sqref="H10:H113" xr:uid="{00000000-0002-0000-0100-000002000000}">
      <formula1>0</formula1>
      <formula2>14</formula2>
    </dataValidation>
  </dataValidations>
  <pageMargins left="0.39370078740157483" right="0.39370078740157483" top="1.5748031496062993" bottom="0.78740157480314965" header="0.31496062992125984" footer="0.31496062992125984"/>
  <pageSetup paperSize="8" fitToHeight="0" orientation="landscape" r:id="rId1"/>
  <colBreaks count="1" manualBreakCount="1">
    <brk id="2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BB30"/>
  <sheetViews>
    <sheetView showGridLines="0" zoomScale="55" zoomScaleNormal="55" zoomScaleSheetLayoutView="115" workbookViewId="0">
      <pane xSplit="2" ySplit="8" topLeftCell="Z9" activePane="bottomRight" state="frozen"/>
      <selection pane="topRight" activeCell="C1" sqref="C1"/>
      <selection pane="bottomLeft" activeCell="A9" sqref="A9"/>
      <selection pane="bottomRight" activeCell="AR10" sqref="AR10"/>
    </sheetView>
  </sheetViews>
  <sheetFormatPr defaultColWidth="9.140625" defaultRowHeight="15.75" x14ac:dyDescent="0.25"/>
  <cols>
    <col min="1" max="1" width="8.7109375" style="1" customWidth="1"/>
    <col min="2" max="3" width="24.7109375" style="1" customWidth="1"/>
    <col min="4" max="4" width="32.7109375" style="1" customWidth="1"/>
    <col min="5" max="5" width="36.7109375" style="1" customWidth="1"/>
    <col min="6" max="9" width="16.7109375" style="1" customWidth="1"/>
    <col min="10" max="10" width="16.7109375" style="49" customWidth="1"/>
    <col min="11" max="11" width="16.7109375" style="1" customWidth="1"/>
    <col min="12" max="13" width="16.7109375" style="49" customWidth="1"/>
    <col min="14" max="17" width="16.7109375" style="1" customWidth="1"/>
    <col min="18" max="19" width="16.7109375" style="49" customWidth="1"/>
    <col min="20" max="36" width="16.7109375" style="1" customWidth="1"/>
    <col min="37" max="37" width="20.7109375" style="1" customWidth="1"/>
    <col min="38" max="48" width="16.7109375" style="1" customWidth="1"/>
    <col min="49" max="49" width="20.7109375" style="1" customWidth="1"/>
    <col min="50" max="51" width="16.7109375" style="1" customWidth="1"/>
    <col min="52" max="16384" width="9.140625" style="1"/>
  </cols>
  <sheetData>
    <row r="1" spans="1:54" ht="32.1" customHeight="1" x14ac:dyDescent="0.25">
      <c r="A1" s="701" t="s">
        <v>142</v>
      </c>
      <c r="B1" s="701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</row>
    <row r="2" spans="1:54" ht="32.1" customHeight="1" x14ac:dyDescent="0.25">
      <c r="A2" s="702" t="s">
        <v>174</v>
      </c>
      <c r="B2" s="702"/>
      <c r="J2" s="1"/>
      <c r="R2" s="1"/>
    </row>
    <row r="3" spans="1:54" ht="48" customHeight="1" x14ac:dyDescent="0.25">
      <c r="A3" s="703" t="s">
        <v>326</v>
      </c>
      <c r="B3" s="703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</row>
    <row r="4" spans="1:54" ht="24" customHeight="1" x14ac:dyDescent="0.3">
      <c r="A4" s="703"/>
      <c r="B4" s="703"/>
      <c r="C4" s="18"/>
      <c r="D4" s="18"/>
      <c r="E4" s="18"/>
      <c r="F4" s="18"/>
      <c r="G4" s="113"/>
      <c r="H4" s="114"/>
      <c r="I4" s="114"/>
      <c r="J4" s="114"/>
      <c r="K4" s="115"/>
      <c r="L4" s="114"/>
      <c r="M4" s="114"/>
      <c r="N4" s="115"/>
      <c r="O4" s="114"/>
      <c r="P4" s="115"/>
      <c r="Q4" s="114"/>
      <c r="R4" s="114"/>
      <c r="S4" s="114"/>
      <c r="T4" s="115"/>
      <c r="U4" s="114"/>
      <c r="V4" s="115"/>
      <c r="W4" s="114"/>
      <c r="X4" s="115"/>
      <c r="Y4" s="114"/>
      <c r="Z4" s="115"/>
      <c r="AA4" s="114"/>
      <c r="AB4" s="115"/>
      <c r="AC4" s="114"/>
      <c r="AD4" s="115"/>
      <c r="AE4" s="115"/>
      <c r="AF4" s="115"/>
      <c r="AG4" s="115"/>
      <c r="AH4" s="115"/>
      <c r="AI4" s="115"/>
      <c r="AJ4" s="115"/>
      <c r="AK4" s="114"/>
      <c r="AL4" s="115"/>
      <c r="AM4" s="115"/>
      <c r="AN4" s="115"/>
      <c r="AO4" s="115"/>
      <c r="AP4" s="114"/>
      <c r="AQ4" s="115"/>
      <c r="AR4" s="115"/>
      <c r="AS4" s="115"/>
      <c r="AT4" s="115"/>
      <c r="AU4" s="115"/>
      <c r="AV4" s="115"/>
      <c r="AX4" s="115"/>
      <c r="AY4" s="115"/>
    </row>
    <row r="5" spans="1:54" ht="24" customHeight="1" thickBot="1" x14ac:dyDescent="0.4">
      <c r="B5" s="4"/>
      <c r="C5" s="4"/>
      <c r="D5" s="4"/>
      <c r="J5" s="1"/>
      <c r="K5" s="93"/>
      <c r="N5" s="93"/>
      <c r="P5" s="93"/>
      <c r="R5" s="1"/>
      <c r="T5" s="93"/>
      <c r="V5" s="93"/>
      <c r="X5" s="93"/>
      <c r="Z5" s="93"/>
      <c r="AB5" s="93"/>
      <c r="AD5" s="93"/>
      <c r="AE5" s="93"/>
      <c r="AF5" s="93"/>
      <c r="AG5" s="93"/>
      <c r="AH5" s="93"/>
      <c r="AI5" s="93"/>
      <c r="AJ5" s="93"/>
      <c r="AL5" s="93"/>
      <c r="AM5" s="93"/>
      <c r="AN5" s="93"/>
      <c r="AO5" s="93"/>
      <c r="AQ5" s="93"/>
      <c r="AR5" s="93"/>
      <c r="AS5" s="93"/>
      <c r="AT5" s="93"/>
      <c r="AU5" s="93"/>
      <c r="AV5" s="93"/>
      <c r="AW5" s="3"/>
      <c r="AX5" s="93"/>
      <c r="AY5" s="93"/>
      <c r="AZ5" s="3"/>
    </row>
    <row r="6" spans="1:54" ht="40.5" customHeight="1" x14ac:dyDescent="0.35">
      <c r="A6" s="4"/>
      <c r="B6" s="4"/>
      <c r="C6" s="4"/>
      <c r="D6" s="4"/>
      <c r="E6" s="5"/>
      <c r="F6" s="5"/>
      <c r="H6" s="5"/>
      <c r="I6" s="5"/>
      <c r="J6" s="50"/>
      <c r="K6" s="5"/>
      <c r="L6" s="50"/>
      <c r="M6" s="50"/>
      <c r="N6" s="5"/>
      <c r="O6" s="5"/>
      <c r="P6" s="2"/>
      <c r="Q6" s="5"/>
      <c r="R6" s="50"/>
      <c r="S6" s="50"/>
      <c r="T6" s="4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281" t="s">
        <v>11</v>
      </c>
      <c r="AL6" s="25"/>
      <c r="AM6" s="25"/>
      <c r="AN6" s="25"/>
      <c r="AO6" s="3"/>
      <c r="AP6" s="5"/>
      <c r="AQ6" s="3"/>
      <c r="AR6" s="691" t="s">
        <v>340</v>
      </c>
      <c r="AS6" s="3"/>
      <c r="AT6" s="3"/>
      <c r="AU6" s="6"/>
      <c r="AV6" s="6"/>
      <c r="AW6" s="287" t="s">
        <v>10</v>
      </c>
      <c r="AX6" s="6"/>
      <c r="AY6" s="6"/>
    </row>
    <row r="7" spans="1:54" ht="127.5" customHeight="1" thickBot="1" x14ac:dyDescent="0.3">
      <c r="A7" s="55" t="s">
        <v>20</v>
      </c>
      <c r="B7" s="55" t="s">
        <v>0</v>
      </c>
      <c r="C7" s="72" t="s">
        <v>79</v>
      </c>
      <c r="D7" s="72" t="s">
        <v>80</v>
      </c>
      <c r="E7" s="55" t="s">
        <v>1</v>
      </c>
      <c r="F7" s="55" t="s">
        <v>52</v>
      </c>
      <c r="G7" s="55" t="s">
        <v>2</v>
      </c>
      <c r="H7" s="72" t="s">
        <v>74</v>
      </c>
      <c r="I7" s="72" t="s">
        <v>84</v>
      </c>
      <c r="J7" s="51" t="s">
        <v>81</v>
      </c>
      <c r="K7" s="55" t="s">
        <v>3</v>
      </c>
      <c r="L7" s="85" t="s">
        <v>143</v>
      </c>
      <c r="M7" s="85" t="s">
        <v>82</v>
      </c>
      <c r="N7" s="55" t="s">
        <v>53</v>
      </c>
      <c r="O7" s="70" t="s">
        <v>78</v>
      </c>
      <c r="P7" s="55" t="s">
        <v>17</v>
      </c>
      <c r="Q7" s="85" t="s">
        <v>69</v>
      </c>
      <c r="R7" s="85" t="s">
        <v>83</v>
      </c>
      <c r="S7" s="285" t="s">
        <v>90</v>
      </c>
      <c r="T7" s="251" t="s">
        <v>54</v>
      </c>
      <c r="U7" s="72" t="s">
        <v>85</v>
      </c>
      <c r="V7" s="55" t="s">
        <v>4</v>
      </c>
      <c r="W7" s="72" t="s">
        <v>86</v>
      </c>
      <c r="X7" s="55" t="s">
        <v>55</v>
      </c>
      <c r="Y7" s="72" t="s">
        <v>87</v>
      </c>
      <c r="Z7" s="55" t="s">
        <v>5</v>
      </c>
      <c r="AA7" s="72" t="s">
        <v>88</v>
      </c>
      <c r="AB7" s="55" t="s">
        <v>6</v>
      </c>
      <c r="AC7" s="72"/>
      <c r="AD7" s="55" t="s">
        <v>56</v>
      </c>
      <c r="AE7" s="55" t="s">
        <v>7</v>
      </c>
      <c r="AF7" s="55" t="s">
        <v>57</v>
      </c>
      <c r="AG7" s="55" t="s">
        <v>58</v>
      </c>
      <c r="AH7" s="55" t="s">
        <v>59</v>
      </c>
      <c r="AI7" s="55" t="s">
        <v>18</v>
      </c>
      <c r="AJ7" s="61" t="s">
        <v>12</v>
      </c>
      <c r="AK7" s="284" t="s">
        <v>8</v>
      </c>
      <c r="AL7" s="129" t="s">
        <v>169</v>
      </c>
      <c r="AM7" s="129" t="s">
        <v>170</v>
      </c>
      <c r="AN7" s="57" t="s">
        <v>60</v>
      </c>
      <c r="AO7" s="55" t="s">
        <v>13</v>
      </c>
      <c r="AP7" s="72" t="s">
        <v>93</v>
      </c>
      <c r="AQ7" s="55" t="s">
        <v>15</v>
      </c>
      <c r="AR7" s="672" t="s">
        <v>14</v>
      </c>
      <c r="AS7" s="55" t="s">
        <v>16</v>
      </c>
      <c r="AT7" s="55" t="s">
        <v>21</v>
      </c>
      <c r="AU7" s="55" t="s">
        <v>19</v>
      </c>
      <c r="AV7" s="61" t="s">
        <v>61</v>
      </c>
      <c r="AW7" s="106" t="s">
        <v>9</v>
      </c>
      <c r="AX7" s="130" t="s">
        <v>162</v>
      </c>
      <c r="AY7" s="169" t="s">
        <v>163</v>
      </c>
    </row>
    <row r="8" spans="1:54" s="11" customFormat="1" ht="14.1" customHeight="1" thickBot="1" x14ac:dyDescent="0.3">
      <c r="A8" s="56" t="s">
        <v>22</v>
      </c>
      <c r="B8" s="56" t="s">
        <v>23</v>
      </c>
      <c r="C8" s="73"/>
      <c r="D8" s="73"/>
      <c r="E8" s="56" t="s">
        <v>24</v>
      </c>
      <c r="F8" s="56" t="s">
        <v>25</v>
      </c>
      <c r="G8" s="56" t="s">
        <v>26</v>
      </c>
      <c r="H8" s="135" t="s">
        <v>94</v>
      </c>
      <c r="I8" s="71" t="s">
        <v>91</v>
      </c>
      <c r="J8" s="54" t="s">
        <v>89</v>
      </c>
      <c r="K8" s="56" t="s">
        <v>27</v>
      </c>
      <c r="L8" s="86" t="s">
        <v>123</v>
      </c>
      <c r="M8" s="86" t="s">
        <v>89</v>
      </c>
      <c r="N8" s="56" t="s">
        <v>28</v>
      </c>
      <c r="O8" s="71" t="s">
        <v>91</v>
      </c>
      <c r="P8" s="56" t="s">
        <v>29</v>
      </c>
      <c r="Q8" s="86" t="s">
        <v>89</v>
      </c>
      <c r="R8" s="86" t="s">
        <v>89</v>
      </c>
      <c r="S8" s="86" t="s">
        <v>92</v>
      </c>
      <c r="T8" s="295" t="s">
        <v>30</v>
      </c>
      <c r="U8" s="73"/>
      <c r="V8" s="56" t="s">
        <v>31</v>
      </c>
      <c r="W8" s="73"/>
      <c r="X8" s="56" t="s">
        <v>32</v>
      </c>
      <c r="Y8" s="73"/>
      <c r="Z8" s="56" t="s">
        <v>33</v>
      </c>
      <c r="AA8" s="73"/>
      <c r="AB8" s="56" t="s">
        <v>34</v>
      </c>
      <c r="AC8" s="73"/>
      <c r="AD8" s="56" t="s">
        <v>35</v>
      </c>
      <c r="AE8" s="56" t="s">
        <v>36</v>
      </c>
      <c r="AF8" s="56" t="s">
        <v>37</v>
      </c>
      <c r="AG8" s="56" t="s">
        <v>38</v>
      </c>
      <c r="AH8" s="56" t="s">
        <v>39</v>
      </c>
      <c r="AI8" s="56" t="s">
        <v>40</v>
      </c>
      <c r="AJ8" s="62" t="s">
        <v>41</v>
      </c>
      <c r="AK8" s="56" t="s">
        <v>42</v>
      </c>
      <c r="AL8" s="58" t="s">
        <v>43</v>
      </c>
      <c r="AM8" s="56" t="s">
        <v>44</v>
      </c>
      <c r="AN8" s="58" t="s">
        <v>45</v>
      </c>
      <c r="AO8" s="56" t="s">
        <v>46</v>
      </c>
      <c r="AP8" s="73"/>
      <c r="AQ8" s="56" t="s">
        <v>47</v>
      </c>
      <c r="AR8" s="56" t="s">
        <v>48</v>
      </c>
      <c r="AS8" s="56" t="s">
        <v>49</v>
      </c>
      <c r="AT8" s="62" t="s">
        <v>50</v>
      </c>
      <c r="AU8" s="62" t="s">
        <v>51</v>
      </c>
      <c r="AV8" s="62" t="s">
        <v>153</v>
      </c>
      <c r="AW8" s="131" t="s">
        <v>154</v>
      </c>
      <c r="AX8" s="62" t="s">
        <v>155</v>
      </c>
      <c r="AY8" s="170" t="s">
        <v>156</v>
      </c>
    </row>
    <row r="9" spans="1:54" ht="63.95" customHeight="1" x14ac:dyDescent="0.25">
      <c r="A9" s="37"/>
      <c r="B9" s="38"/>
      <c r="C9" s="45"/>
      <c r="D9" s="45"/>
      <c r="E9" s="38"/>
      <c r="F9" s="39"/>
      <c r="G9" s="40"/>
      <c r="H9" s="46"/>
      <c r="I9" s="46"/>
      <c r="J9" s="52"/>
      <c r="K9" s="41"/>
      <c r="L9" s="52"/>
      <c r="M9" s="52"/>
      <c r="N9" s="42"/>
      <c r="O9" s="45"/>
      <c r="P9" s="42"/>
      <c r="Q9" s="601" t="s">
        <v>505</v>
      </c>
      <c r="R9" s="52"/>
      <c r="S9" s="52"/>
      <c r="T9" s="42"/>
      <c r="U9" s="46"/>
      <c r="V9" s="42"/>
      <c r="W9" s="46"/>
      <c r="X9" s="42"/>
      <c r="Y9" s="46"/>
      <c r="Z9" s="42"/>
      <c r="AA9" s="46"/>
      <c r="AB9" s="42"/>
      <c r="AC9" s="46"/>
      <c r="AD9" s="43"/>
      <c r="AE9" s="43"/>
      <c r="AF9" s="43"/>
      <c r="AG9" s="43"/>
      <c r="AH9" s="43"/>
      <c r="AI9" s="42"/>
      <c r="AJ9" s="63"/>
      <c r="AK9" s="282"/>
      <c r="AL9" s="59"/>
      <c r="AM9" s="59"/>
      <c r="AN9" s="59"/>
      <c r="AO9" s="42"/>
      <c r="AP9" s="47"/>
      <c r="AQ9" s="42"/>
      <c r="AR9" s="42"/>
      <c r="AS9" s="44"/>
      <c r="AT9" s="44"/>
      <c r="AU9" s="44"/>
      <c r="AV9" s="65"/>
      <c r="AW9" s="68"/>
      <c r="AX9" s="65"/>
      <c r="AY9" s="171"/>
    </row>
    <row r="10" spans="1:54" ht="20.100000000000001" customHeight="1" x14ac:dyDescent="0.25">
      <c r="A10" s="32">
        <v>1</v>
      </c>
      <c r="B10" s="33" t="s">
        <v>276</v>
      </c>
      <c r="C10" s="252">
        <v>782337343</v>
      </c>
      <c r="D10" s="74" t="s">
        <v>327</v>
      </c>
      <c r="E10" s="312" t="s">
        <v>401</v>
      </c>
      <c r="F10" s="34" t="s">
        <v>395</v>
      </c>
      <c r="G10" s="75">
        <v>22</v>
      </c>
      <c r="H10" s="35">
        <v>0</v>
      </c>
      <c r="I10" s="35">
        <f t="shared" ref="I10:I19" si="0">IF(22-(G10+H10)&lt;0,"KUJDES",22-(G10+H10))</f>
        <v>0</v>
      </c>
      <c r="J10" s="77">
        <v>14000</v>
      </c>
      <c r="K10" s="48">
        <f t="shared" ref="K10:K19" si="1">ROUND(J10*(G10/22),0)</f>
        <v>14000</v>
      </c>
      <c r="L10" s="111"/>
      <c r="M10" s="485">
        <v>60000</v>
      </c>
      <c r="N10" s="48">
        <f t="shared" ref="N10:N19" si="2">ROUND(M10*(G10/22),0)</f>
        <v>60000</v>
      </c>
      <c r="O10" s="28">
        <f t="shared" ref="O10:O19" si="3">IF(22-(G10+H10)&lt;0,"GABIM",K10+N10+T10+V10+X10+Z10+AB10+AD10)</f>
        <v>74360</v>
      </c>
      <c r="P10" s="48">
        <f t="shared" ref="P10:P19" si="4">ROUND(O10*(H10/G10)*raport_mjekesor,0)</f>
        <v>0</v>
      </c>
      <c r="Q10" s="523">
        <f t="shared" ref="Q10:Q19" si="5">IF(R10&lt;=10,R10*0.6%,IF(R10&lt;=20,6%+(R10-10)*0.8%,IF(R10&lt;=30,14%+(R10-20)*1%,24%)))</f>
        <v>6.0000000000000001E-3</v>
      </c>
      <c r="R10" s="77">
        <v>1</v>
      </c>
      <c r="S10" s="586" t="s">
        <v>118</v>
      </c>
      <c r="T10" s="590">
        <f t="shared" ref="T10:T29" si="6">ROUND(N10*(Q10),0)</f>
        <v>360</v>
      </c>
      <c r="U10" s="35"/>
      <c r="V10" s="48">
        <f t="shared" ref="V10:V19" si="7">ROUND(U10*(G10/22),0)</f>
        <v>0</v>
      </c>
      <c r="W10" s="35"/>
      <c r="X10" s="48">
        <f t="shared" ref="X10:X19" si="8">ROUND(W10*(G10/22),0)</f>
        <v>0</v>
      </c>
      <c r="Y10" s="35"/>
      <c r="Z10" s="48">
        <f t="shared" ref="Z10:Z19" si="9">ROUND(Y10*(G10/22),0)</f>
        <v>0</v>
      </c>
      <c r="AA10" s="35"/>
      <c r="AB10" s="48">
        <f t="shared" ref="AB10:AB19" si="10">ROUND(AA10*(G10/22),0)</f>
        <v>0</v>
      </c>
      <c r="AC10" s="35">
        <v>0</v>
      </c>
      <c r="AD10" s="48">
        <f t="shared" ref="AD10:AD19" si="11">ROUND(AC10*(G10/22),0)</f>
        <v>0</v>
      </c>
      <c r="AE10" s="48">
        <v>0</v>
      </c>
      <c r="AF10" s="48">
        <v>0</v>
      </c>
      <c r="AG10" s="48">
        <v>0</v>
      </c>
      <c r="AH10" s="48">
        <v>0</v>
      </c>
      <c r="AI10" s="48">
        <v>0</v>
      </c>
      <c r="AJ10" s="280">
        <v>0</v>
      </c>
      <c r="AK10" s="283">
        <f t="shared" ref="AK10:AK19" si="12">K10+N10+P10+T10+V10+X10+Z10+AB10+AD10+AE10+AF10+AG10+AH10+AI10+AJ10</f>
        <v>74360</v>
      </c>
      <c r="AL10" s="60">
        <v>0</v>
      </c>
      <c r="AM10" s="60">
        <v>0</v>
      </c>
      <c r="AN10" s="60">
        <f t="shared" ref="AN10" si="13">ROUND(IF((AK10-AI10)&gt;max_s_shoqeror,(s_shoqeror*max_s_shoqeror),s_shoqeror*(AK10-AI10)),0)</f>
        <v>7064</v>
      </c>
      <c r="AO10" s="36">
        <f t="shared" ref="AO10:AO29" si="14">IF((AK10-AI10)&gt;min_s_shoqeror,ROUND((AK10-AI10)*s_shendetsor,0),min_s_shoqeror*s_shendetsor)</f>
        <v>1264</v>
      </c>
      <c r="AP10" s="29">
        <v>0</v>
      </c>
      <c r="AQ10" s="36">
        <f t="shared" ref="AQ10" si="15">ROUND((AK10-AI10)*AP10,0)</f>
        <v>0</v>
      </c>
      <c r="AR10" s="36">
        <f t="shared" ref="AR10:AR29" si="16">ROUND(IF((AK10-AL10-AM10)&lt;=paga_50mije,0,IF((AK10-AL10-AM10)&lt;=paga_60mije,(AK10-AL10-AM10-paga_35mije)*tatimi_13,IF((AK10-AL10-AM10)&lt;=paga_200mije,(AK10-AL10-AM10-paga_30mije)*tatimi_13,(AK10-AL10-AM10-paga_200mije)*tatimi_23 +tatimi_fiks_deri200mije))),0)</f>
        <v>5767</v>
      </c>
      <c r="AS10" s="36">
        <v>0</v>
      </c>
      <c r="AT10" s="36">
        <v>0</v>
      </c>
      <c r="AU10" s="36">
        <v>0</v>
      </c>
      <c r="AV10" s="66">
        <f t="shared" ref="AV10" si="17">ROUND(AN10+AO10+AQ10+AR10+AS10+AT10+AU10+AX10+AY10,0)</f>
        <v>14095</v>
      </c>
      <c r="AW10" s="277">
        <f t="shared" ref="AW10:AW19" si="18">AK10-AV10</f>
        <v>60265</v>
      </c>
      <c r="AX10" s="66"/>
      <c r="AY10" s="172"/>
    </row>
    <row r="11" spans="1:54" ht="20.100000000000001" customHeight="1" x14ac:dyDescent="0.25">
      <c r="A11" s="21">
        <v>2</v>
      </c>
      <c r="B11" s="33" t="s">
        <v>277</v>
      </c>
      <c r="C11" s="252">
        <v>885984005</v>
      </c>
      <c r="D11" s="74" t="s">
        <v>330</v>
      </c>
      <c r="E11" s="312" t="s">
        <v>401</v>
      </c>
      <c r="F11" s="311" t="s">
        <v>395</v>
      </c>
      <c r="G11" s="76">
        <v>22</v>
      </c>
      <c r="H11" s="35">
        <v>0</v>
      </c>
      <c r="I11" s="35">
        <f t="shared" si="0"/>
        <v>0</v>
      </c>
      <c r="J11" s="77">
        <v>14000</v>
      </c>
      <c r="K11" s="48">
        <f t="shared" si="1"/>
        <v>14000</v>
      </c>
      <c r="L11" s="112"/>
      <c r="M11" s="486">
        <v>60000</v>
      </c>
      <c r="N11" s="48">
        <f t="shared" si="2"/>
        <v>60000</v>
      </c>
      <c r="O11" s="28">
        <f t="shared" si="3"/>
        <v>74720</v>
      </c>
      <c r="P11" s="48">
        <f t="shared" si="4"/>
        <v>0</v>
      </c>
      <c r="Q11" s="523">
        <f t="shared" si="5"/>
        <v>1.2E-2</v>
      </c>
      <c r="R11" s="77">
        <v>2</v>
      </c>
      <c r="S11" s="586" t="s">
        <v>119</v>
      </c>
      <c r="T11" s="590">
        <f t="shared" si="6"/>
        <v>720</v>
      </c>
      <c r="U11" s="31"/>
      <c r="V11" s="48">
        <f t="shared" si="7"/>
        <v>0</v>
      </c>
      <c r="W11" s="31"/>
      <c r="X11" s="48">
        <f t="shared" si="8"/>
        <v>0</v>
      </c>
      <c r="Y11" s="31"/>
      <c r="Z11" s="48">
        <f t="shared" si="9"/>
        <v>0</v>
      </c>
      <c r="AA11" s="31"/>
      <c r="AB11" s="48">
        <f t="shared" si="10"/>
        <v>0</v>
      </c>
      <c r="AC11" s="31">
        <v>0</v>
      </c>
      <c r="AD11" s="48">
        <f t="shared" si="11"/>
        <v>0</v>
      </c>
      <c r="AE11" s="48">
        <v>0</v>
      </c>
      <c r="AF11" s="48">
        <v>0</v>
      </c>
      <c r="AG11" s="48">
        <v>0</v>
      </c>
      <c r="AH11" s="48">
        <v>0</v>
      </c>
      <c r="AI11" s="48">
        <v>0</v>
      </c>
      <c r="AJ11" s="280">
        <v>0</v>
      </c>
      <c r="AK11" s="283">
        <f t="shared" si="12"/>
        <v>74720</v>
      </c>
      <c r="AL11" s="60">
        <v>0</v>
      </c>
      <c r="AM11" s="60">
        <v>0</v>
      </c>
      <c r="AN11" s="60">
        <f t="shared" ref="AN11:AN29" si="19">ROUND(IF((AK11-AI11)&gt;max_s_shoqeror,(s_shoqeror*max_s_shoqeror),s_shoqeror*(AK11-AI11)),0)</f>
        <v>7098</v>
      </c>
      <c r="AO11" s="36">
        <f t="shared" si="14"/>
        <v>1270</v>
      </c>
      <c r="AP11" s="30">
        <v>0</v>
      </c>
      <c r="AQ11" s="36">
        <f t="shared" ref="AQ11:AQ29" si="20">ROUND((AK11-AI11)*AP11,0)</f>
        <v>0</v>
      </c>
      <c r="AR11" s="26">
        <f t="shared" si="16"/>
        <v>5814</v>
      </c>
      <c r="AS11" s="26">
        <v>0</v>
      </c>
      <c r="AT11" s="26">
        <v>0</v>
      </c>
      <c r="AU11" s="26">
        <v>0</v>
      </c>
      <c r="AV11" s="67">
        <f t="shared" ref="AV11:AV29" si="21">ROUND(AN11+AO11+AQ11+AR11+AS11+AT11+AU11+AX11+AY11,0)</f>
        <v>14182</v>
      </c>
      <c r="AW11" s="278">
        <f t="shared" si="18"/>
        <v>60538</v>
      </c>
      <c r="AX11" s="67"/>
      <c r="AY11" s="173"/>
    </row>
    <row r="12" spans="1:54" ht="20.100000000000001" customHeight="1" x14ac:dyDescent="0.25">
      <c r="A12" s="21">
        <v>3</v>
      </c>
      <c r="B12" s="33" t="s">
        <v>278</v>
      </c>
      <c r="C12" s="252">
        <v>374101089</v>
      </c>
      <c r="D12" s="74" t="s">
        <v>137</v>
      </c>
      <c r="E12" s="312" t="s">
        <v>401</v>
      </c>
      <c r="F12" s="311" t="s">
        <v>395</v>
      </c>
      <c r="G12" s="76">
        <v>22</v>
      </c>
      <c r="H12" s="35">
        <v>0</v>
      </c>
      <c r="I12" s="35">
        <f t="shared" si="0"/>
        <v>0</v>
      </c>
      <c r="J12" s="77">
        <v>14000</v>
      </c>
      <c r="K12" s="48">
        <f t="shared" si="1"/>
        <v>14000</v>
      </c>
      <c r="L12" s="112"/>
      <c r="M12" s="486">
        <v>60000</v>
      </c>
      <c r="N12" s="48">
        <f t="shared" si="2"/>
        <v>60000</v>
      </c>
      <c r="O12" s="28">
        <f t="shared" si="3"/>
        <v>75080</v>
      </c>
      <c r="P12" s="48">
        <f t="shared" si="4"/>
        <v>0</v>
      </c>
      <c r="Q12" s="523">
        <f t="shared" si="5"/>
        <v>1.8000000000000002E-2</v>
      </c>
      <c r="R12" s="77">
        <v>3</v>
      </c>
      <c r="S12" s="586" t="s">
        <v>95</v>
      </c>
      <c r="T12" s="590">
        <f t="shared" si="6"/>
        <v>1080</v>
      </c>
      <c r="U12" s="31"/>
      <c r="V12" s="48">
        <f t="shared" si="7"/>
        <v>0</v>
      </c>
      <c r="W12" s="31"/>
      <c r="X12" s="48">
        <f t="shared" si="8"/>
        <v>0</v>
      </c>
      <c r="Y12" s="31"/>
      <c r="Z12" s="48">
        <f t="shared" si="9"/>
        <v>0</v>
      </c>
      <c r="AA12" s="31"/>
      <c r="AB12" s="48">
        <f t="shared" si="10"/>
        <v>0</v>
      </c>
      <c r="AC12" s="31">
        <v>0</v>
      </c>
      <c r="AD12" s="48">
        <f t="shared" si="11"/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0</v>
      </c>
      <c r="AJ12" s="280">
        <v>0</v>
      </c>
      <c r="AK12" s="283">
        <f t="shared" si="12"/>
        <v>75080</v>
      </c>
      <c r="AL12" s="60">
        <v>0</v>
      </c>
      <c r="AM12" s="60">
        <v>0</v>
      </c>
      <c r="AN12" s="60">
        <f t="shared" si="19"/>
        <v>7133</v>
      </c>
      <c r="AO12" s="36">
        <f t="shared" si="14"/>
        <v>1276</v>
      </c>
      <c r="AP12" s="30">
        <v>0</v>
      </c>
      <c r="AQ12" s="36">
        <f t="shared" si="20"/>
        <v>0</v>
      </c>
      <c r="AR12" s="26">
        <f t="shared" si="16"/>
        <v>5860</v>
      </c>
      <c r="AS12" s="26">
        <v>0</v>
      </c>
      <c r="AT12" s="26">
        <v>0</v>
      </c>
      <c r="AU12" s="26">
        <v>0</v>
      </c>
      <c r="AV12" s="67">
        <f t="shared" si="21"/>
        <v>14269</v>
      </c>
      <c r="AW12" s="278">
        <f t="shared" si="18"/>
        <v>60811</v>
      </c>
      <c r="AX12" s="67"/>
      <c r="AY12" s="173"/>
    </row>
    <row r="13" spans="1:54" ht="20.100000000000001" customHeight="1" x14ac:dyDescent="0.25">
      <c r="A13" s="21">
        <v>4</v>
      </c>
      <c r="B13" s="33" t="s">
        <v>279</v>
      </c>
      <c r="C13" s="252">
        <v>265363894</v>
      </c>
      <c r="D13" s="74" t="s">
        <v>328</v>
      </c>
      <c r="E13" s="312" t="s">
        <v>401</v>
      </c>
      <c r="F13" s="311" t="s">
        <v>395</v>
      </c>
      <c r="G13" s="76">
        <v>22</v>
      </c>
      <c r="H13" s="35">
        <v>0</v>
      </c>
      <c r="I13" s="35">
        <f t="shared" si="0"/>
        <v>0</v>
      </c>
      <c r="J13" s="77">
        <v>14000</v>
      </c>
      <c r="K13" s="48">
        <f t="shared" si="1"/>
        <v>14000</v>
      </c>
      <c r="L13" s="112"/>
      <c r="M13" s="486">
        <v>60000</v>
      </c>
      <c r="N13" s="48">
        <f t="shared" si="2"/>
        <v>60000</v>
      </c>
      <c r="O13" s="28">
        <f t="shared" si="3"/>
        <v>75440</v>
      </c>
      <c r="P13" s="48">
        <f t="shared" si="4"/>
        <v>0</v>
      </c>
      <c r="Q13" s="523">
        <f t="shared" si="5"/>
        <v>2.4E-2</v>
      </c>
      <c r="R13" s="77">
        <v>4</v>
      </c>
      <c r="S13" s="586" t="s">
        <v>96</v>
      </c>
      <c r="T13" s="590">
        <f t="shared" si="6"/>
        <v>1440</v>
      </c>
      <c r="U13" s="31"/>
      <c r="V13" s="48">
        <f t="shared" si="7"/>
        <v>0</v>
      </c>
      <c r="W13" s="31"/>
      <c r="X13" s="48">
        <f t="shared" si="8"/>
        <v>0</v>
      </c>
      <c r="Y13" s="31"/>
      <c r="Z13" s="48">
        <f t="shared" si="9"/>
        <v>0</v>
      </c>
      <c r="AA13" s="31"/>
      <c r="AB13" s="48">
        <f t="shared" si="10"/>
        <v>0</v>
      </c>
      <c r="AC13" s="31">
        <v>0</v>
      </c>
      <c r="AD13" s="48">
        <f t="shared" si="11"/>
        <v>0</v>
      </c>
      <c r="AE13" s="48">
        <v>0</v>
      </c>
      <c r="AF13" s="48">
        <v>0</v>
      </c>
      <c r="AG13" s="48">
        <v>0</v>
      </c>
      <c r="AH13" s="48">
        <v>0</v>
      </c>
      <c r="AI13" s="48">
        <v>0</v>
      </c>
      <c r="AJ13" s="280">
        <v>0</v>
      </c>
      <c r="AK13" s="283">
        <f t="shared" si="12"/>
        <v>75440</v>
      </c>
      <c r="AL13" s="60">
        <v>0</v>
      </c>
      <c r="AM13" s="60">
        <v>0</v>
      </c>
      <c r="AN13" s="60">
        <f t="shared" si="19"/>
        <v>7167</v>
      </c>
      <c r="AO13" s="36">
        <f t="shared" si="14"/>
        <v>1282</v>
      </c>
      <c r="AP13" s="30">
        <v>0</v>
      </c>
      <c r="AQ13" s="36">
        <f t="shared" si="20"/>
        <v>0</v>
      </c>
      <c r="AR13" s="26">
        <f t="shared" si="16"/>
        <v>5907</v>
      </c>
      <c r="AS13" s="26">
        <v>0</v>
      </c>
      <c r="AT13" s="26">
        <v>0</v>
      </c>
      <c r="AU13" s="26">
        <v>0</v>
      </c>
      <c r="AV13" s="67">
        <f t="shared" si="21"/>
        <v>14356</v>
      </c>
      <c r="AW13" s="278">
        <f t="shared" si="18"/>
        <v>61084</v>
      </c>
      <c r="AX13" s="67"/>
      <c r="AY13" s="173"/>
    </row>
    <row r="14" spans="1:54" ht="20.100000000000001" customHeight="1" x14ac:dyDescent="0.25">
      <c r="A14" s="21">
        <v>5</v>
      </c>
      <c r="B14" s="33" t="s">
        <v>280</v>
      </c>
      <c r="C14" s="252">
        <v>184669966</v>
      </c>
      <c r="D14" s="74" t="s">
        <v>329</v>
      </c>
      <c r="E14" s="312" t="s">
        <v>401</v>
      </c>
      <c r="F14" s="311" t="s">
        <v>395</v>
      </c>
      <c r="G14" s="76">
        <v>22</v>
      </c>
      <c r="H14" s="35">
        <v>0</v>
      </c>
      <c r="I14" s="35">
        <f t="shared" si="0"/>
        <v>0</v>
      </c>
      <c r="J14" s="77">
        <v>14000</v>
      </c>
      <c r="K14" s="48">
        <f t="shared" si="1"/>
        <v>14000</v>
      </c>
      <c r="L14" s="112"/>
      <c r="M14" s="486">
        <v>60000</v>
      </c>
      <c r="N14" s="48">
        <f t="shared" si="2"/>
        <v>60000</v>
      </c>
      <c r="O14" s="28">
        <f t="shared" si="3"/>
        <v>75800</v>
      </c>
      <c r="P14" s="48">
        <f t="shared" si="4"/>
        <v>0</v>
      </c>
      <c r="Q14" s="523">
        <f t="shared" si="5"/>
        <v>0.03</v>
      </c>
      <c r="R14" s="77">
        <v>5</v>
      </c>
      <c r="S14" s="586" t="s">
        <v>97</v>
      </c>
      <c r="T14" s="590">
        <f t="shared" si="6"/>
        <v>1800</v>
      </c>
      <c r="U14" s="31"/>
      <c r="V14" s="48">
        <f t="shared" si="7"/>
        <v>0</v>
      </c>
      <c r="W14" s="31"/>
      <c r="X14" s="48">
        <f t="shared" si="8"/>
        <v>0</v>
      </c>
      <c r="Y14" s="31"/>
      <c r="Z14" s="48">
        <f t="shared" si="9"/>
        <v>0</v>
      </c>
      <c r="AA14" s="31"/>
      <c r="AB14" s="48">
        <f t="shared" si="10"/>
        <v>0</v>
      </c>
      <c r="AC14" s="31">
        <v>0</v>
      </c>
      <c r="AD14" s="48">
        <f t="shared" si="11"/>
        <v>0</v>
      </c>
      <c r="AE14" s="48">
        <v>0</v>
      </c>
      <c r="AF14" s="48">
        <v>0</v>
      </c>
      <c r="AG14" s="48">
        <v>0</v>
      </c>
      <c r="AH14" s="48">
        <v>0</v>
      </c>
      <c r="AI14" s="48">
        <v>0</v>
      </c>
      <c r="AJ14" s="280">
        <v>0</v>
      </c>
      <c r="AK14" s="283">
        <f t="shared" si="12"/>
        <v>75800</v>
      </c>
      <c r="AL14" s="60">
        <v>0</v>
      </c>
      <c r="AM14" s="60">
        <v>0</v>
      </c>
      <c r="AN14" s="60">
        <f t="shared" si="19"/>
        <v>7201</v>
      </c>
      <c r="AO14" s="36">
        <f t="shared" si="14"/>
        <v>1289</v>
      </c>
      <c r="AP14" s="30">
        <v>0</v>
      </c>
      <c r="AQ14" s="36">
        <f t="shared" si="20"/>
        <v>0</v>
      </c>
      <c r="AR14" s="26">
        <f t="shared" si="16"/>
        <v>5954</v>
      </c>
      <c r="AS14" s="26">
        <v>0</v>
      </c>
      <c r="AT14" s="26">
        <v>0</v>
      </c>
      <c r="AU14" s="26">
        <v>0</v>
      </c>
      <c r="AV14" s="67">
        <f t="shared" si="21"/>
        <v>14444</v>
      </c>
      <c r="AW14" s="278">
        <f t="shared" si="18"/>
        <v>61356</v>
      </c>
      <c r="AX14" s="67"/>
      <c r="AY14" s="173"/>
    </row>
    <row r="15" spans="1:54" ht="20.100000000000001" customHeight="1" x14ac:dyDescent="0.25">
      <c r="A15" s="32">
        <v>6</v>
      </c>
      <c r="B15" s="33" t="s">
        <v>281</v>
      </c>
      <c r="C15" s="252">
        <v>439006011</v>
      </c>
      <c r="D15" s="74" t="s">
        <v>138</v>
      </c>
      <c r="E15" s="312" t="s">
        <v>401</v>
      </c>
      <c r="F15" s="311" t="s">
        <v>395</v>
      </c>
      <c r="G15" s="76">
        <v>22</v>
      </c>
      <c r="H15" s="35">
        <v>0</v>
      </c>
      <c r="I15" s="35">
        <f t="shared" si="0"/>
        <v>0</v>
      </c>
      <c r="J15" s="77">
        <v>14000</v>
      </c>
      <c r="K15" s="48">
        <f t="shared" si="1"/>
        <v>14000</v>
      </c>
      <c r="L15" s="112"/>
      <c r="M15" s="486">
        <v>60000</v>
      </c>
      <c r="N15" s="48">
        <f t="shared" si="2"/>
        <v>60000</v>
      </c>
      <c r="O15" s="28">
        <f t="shared" si="3"/>
        <v>76160</v>
      </c>
      <c r="P15" s="48">
        <f t="shared" si="4"/>
        <v>0</v>
      </c>
      <c r="Q15" s="523">
        <f t="shared" si="5"/>
        <v>3.6000000000000004E-2</v>
      </c>
      <c r="R15" s="77">
        <v>6</v>
      </c>
      <c r="S15" s="586" t="s">
        <v>98</v>
      </c>
      <c r="T15" s="590">
        <f t="shared" si="6"/>
        <v>2160</v>
      </c>
      <c r="U15" s="31"/>
      <c r="V15" s="48">
        <f t="shared" si="7"/>
        <v>0</v>
      </c>
      <c r="W15" s="31"/>
      <c r="X15" s="48">
        <f t="shared" si="8"/>
        <v>0</v>
      </c>
      <c r="Y15" s="31"/>
      <c r="Z15" s="48">
        <f t="shared" si="9"/>
        <v>0</v>
      </c>
      <c r="AA15" s="31"/>
      <c r="AB15" s="48">
        <f t="shared" si="10"/>
        <v>0</v>
      </c>
      <c r="AC15" s="31">
        <v>0</v>
      </c>
      <c r="AD15" s="48">
        <f t="shared" si="11"/>
        <v>0</v>
      </c>
      <c r="AE15" s="48">
        <v>0</v>
      </c>
      <c r="AF15" s="48">
        <v>0</v>
      </c>
      <c r="AG15" s="48">
        <v>0</v>
      </c>
      <c r="AH15" s="48">
        <v>0</v>
      </c>
      <c r="AI15" s="48">
        <v>0</v>
      </c>
      <c r="AJ15" s="280">
        <v>0</v>
      </c>
      <c r="AK15" s="283">
        <f t="shared" si="12"/>
        <v>76160</v>
      </c>
      <c r="AL15" s="60">
        <v>0</v>
      </c>
      <c r="AM15" s="60">
        <v>0</v>
      </c>
      <c r="AN15" s="60">
        <f t="shared" si="19"/>
        <v>7235</v>
      </c>
      <c r="AO15" s="36">
        <f t="shared" si="14"/>
        <v>1295</v>
      </c>
      <c r="AP15" s="30">
        <v>0</v>
      </c>
      <c r="AQ15" s="36">
        <f t="shared" si="20"/>
        <v>0</v>
      </c>
      <c r="AR15" s="26">
        <f t="shared" si="16"/>
        <v>6001</v>
      </c>
      <c r="AS15" s="26">
        <v>0</v>
      </c>
      <c r="AT15" s="26">
        <v>0</v>
      </c>
      <c r="AU15" s="26">
        <v>0</v>
      </c>
      <c r="AV15" s="67">
        <f t="shared" si="21"/>
        <v>14531</v>
      </c>
      <c r="AW15" s="278">
        <f t="shared" si="18"/>
        <v>61629</v>
      </c>
      <c r="AX15" s="67"/>
      <c r="AY15" s="173"/>
    </row>
    <row r="16" spans="1:54" ht="20.100000000000001" customHeight="1" x14ac:dyDescent="0.25">
      <c r="A16" s="21">
        <v>7</v>
      </c>
      <c r="B16" s="33" t="s">
        <v>282</v>
      </c>
      <c r="C16" s="252">
        <v>810037746</v>
      </c>
      <c r="D16" s="74" t="s">
        <v>135</v>
      </c>
      <c r="E16" s="312" t="s">
        <v>401</v>
      </c>
      <c r="F16" s="311" t="s">
        <v>395</v>
      </c>
      <c r="G16" s="76">
        <v>22</v>
      </c>
      <c r="H16" s="35">
        <v>0</v>
      </c>
      <c r="I16" s="35">
        <f t="shared" si="0"/>
        <v>0</v>
      </c>
      <c r="J16" s="77">
        <v>14000</v>
      </c>
      <c r="K16" s="48">
        <f t="shared" si="1"/>
        <v>14000</v>
      </c>
      <c r="L16" s="112"/>
      <c r="M16" s="486">
        <v>60000</v>
      </c>
      <c r="N16" s="48">
        <f t="shared" si="2"/>
        <v>60000</v>
      </c>
      <c r="O16" s="28">
        <f t="shared" si="3"/>
        <v>76520</v>
      </c>
      <c r="P16" s="48">
        <f t="shared" si="4"/>
        <v>0</v>
      </c>
      <c r="Q16" s="523">
        <f t="shared" si="5"/>
        <v>4.2000000000000003E-2</v>
      </c>
      <c r="R16" s="77">
        <v>7</v>
      </c>
      <c r="S16" s="586" t="s">
        <v>99</v>
      </c>
      <c r="T16" s="590">
        <f t="shared" si="6"/>
        <v>2520</v>
      </c>
      <c r="U16" s="31"/>
      <c r="V16" s="48">
        <f t="shared" si="7"/>
        <v>0</v>
      </c>
      <c r="W16" s="31"/>
      <c r="X16" s="48">
        <f t="shared" si="8"/>
        <v>0</v>
      </c>
      <c r="Y16" s="31"/>
      <c r="Z16" s="48">
        <f t="shared" si="9"/>
        <v>0</v>
      </c>
      <c r="AA16" s="31"/>
      <c r="AB16" s="48">
        <f t="shared" si="10"/>
        <v>0</v>
      </c>
      <c r="AC16" s="31">
        <v>0</v>
      </c>
      <c r="AD16" s="48">
        <f t="shared" si="11"/>
        <v>0</v>
      </c>
      <c r="AE16" s="48">
        <v>0</v>
      </c>
      <c r="AF16" s="48">
        <v>0</v>
      </c>
      <c r="AG16" s="48">
        <v>0</v>
      </c>
      <c r="AH16" s="48">
        <v>0</v>
      </c>
      <c r="AI16" s="48">
        <v>0</v>
      </c>
      <c r="AJ16" s="280">
        <v>0</v>
      </c>
      <c r="AK16" s="283">
        <f t="shared" si="12"/>
        <v>76520</v>
      </c>
      <c r="AL16" s="60">
        <v>0</v>
      </c>
      <c r="AM16" s="60">
        <v>0</v>
      </c>
      <c r="AN16" s="60">
        <f t="shared" si="19"/>
        <v>7269</v>
      </c>
      <c r="AO16" s="36">
        <f t="shared" si="14"/>
        <v>1301</v>
      </c>
      <c r="AP16" s="30">
        <v>0</v>
      </c>
      <c r="AQ16" s="36">
        <f t="shared" si="20"/>
        <v>0</v>
      </c>
      <c r="AR16" s="26">
        <f t="shared" si="16"/>
        <v>6048</v>
      </c>
      <c r="AS16" s="26">
        <v>0</v>
      </c>
      <c r="AT16" s="26">
        <v>0</v>
      </c>
      <c r="AU16" s="26">
        <v>0</v>
      </c>
      <c r="AV16" s="67">
        <f t="shared" si="21"/>
        <v>14618</v>
      </c>
      <c r="AW16" s="278">
        <f t="shared" si="18"/>
        <v>61902</v>
      </c>
      <c r="AX16" s="67"/>
      <c r="AY16" s="173"/>
    </row>
    <row r="17" spans="1:51" ht="20.100000000000001" customHeight="1" x14ac:dyDescent="0.25">
      <c r="A17" s="21">
        <v>8</v>
      </c>
      <c r="B17" s="33" t="s">
        <v>283</v>
      </c>
      <c r="C17" s="252">
        <v>486564094</v>
      </c>
      <c r="D17" s="74" t="s">
        <v>136</v>
      </c>
      <c r="E17" s="312" t="s">
        <v>401</v>
      </c>
      <c r="F17" s="311" t="s">
        <v>395</v>
      </c>
      <c r="G17" s="76">
        <v>22</v>
      </c>
      <c r="H17" s="35">
        <v>0</v>
      </c>
      <c r="I17" s="35">
        <f t="shared" si="0"/>
        <v>0</v>
      </c>
      <c r="J17" s="77">
        <v>14000</v>
      </c>
      <c r="K17" s="48">
        <f t="shared" si="1"/>
        <v>14000</v>
      </c>
      <c r="L17" s="112"/>
      <c r="M17" s="486">
        <v>60000</v>
      </c>
      <c r="N17" s="48">
        <f t="shared" si="2"/>
        <v>60000</v>
      </c>
      <c r="O17" s="28">
        <f t="shared" si="3"/>
        <v>76880</v>
      </c>
      <c r="P17" s="48">
        <f t="shared" si="4"/>
        <v>0</v>
      </c>
      <c r="Q17" s="523">
        <f t="shared" si="5"/>
        <v>4.8000000000000001E-2</v>
      </c>
      <c r="R17" s="77">
        <v>8</v>
      </c>
      <c r="S17" s="586" t="s">
        <v>100</v>
      </c>
      <c r="T17" s="590">
        <f t="shared" si="6"/>
        <v>2880</v>
      </c>
      <c r="U17" s="31"/>
      <c r="V17" s="48">
        <f t="shared" si="7"/>
        <v>0</v>
      </c>
      <c r="W17" s="31"/>
      <c r="X17" s="48">
        <f t="shared" si="8"/>
        <v>0</v>
      </c>
      <c r="Y17" s="31"/>
      <c r="Z17" s="48">
        <f t="shared" si="9"/>
        <v>0</v>
      </c>
      <c r="AA17" s="31"/>
      <c r="AB17" s="48">
        <f t="shared" si="10"/>
        <v>0</v>
      </c>
      <c r="AC17" s="31">
        <v>0</v>
      </c>
      <c r="AD17" s="48">
        <f t="shared" si="11"/>
        <v>0</v>
      </c>
      <c r="AE17" s="48">
        <v>0</v>
      </c>
      <c r="AF17" s="48">
        <v>0</v>
      </c>
      <c r="AG17" s="48">
        <v>0</v>
      </c>
      <c r="AH17" s="48">
        <v>0</v>
      </c>
      <c r="AI17" s="48">
        <v>0</v>
      </c>
      <c r="AJ17" s="280">
        <v>0</v>
      </c>
      <c r="AK17" s="283">
        <f t="shared" si="12"/>
        <v>76880</v>
      </c>
      <c r="AL17" s="60">
        <v>0</v>
      </c>
      <c r="AM17" s="60">
        <v>0</v>
      </c>
      <c r="AN17" s="60">
        <f t="shared" si="19"/>
        <v>7304</v>
      </c>
      <c r="AO17" s="36">
        <f t="shared" si="14"/>
        <v>1307</v>
      </c>
      <c r="AP17" s="30">
        <v>0</v>
      </c>
      <c r="AQ17" s="36">
        <f t="shared" si="20"/>
        <v>0</v>
      </c>
      <c r="AR17" s="26">
        <f t="shared" si="16"/>
        <v>6094</v>
      </c>
      <c r="AS17" s="26">
        <v>0</v>
      </c>
      <c r="AT17" s="26">
        <v>0</v>
      </c>
      <c r="AU17" s="26">
        <v>0</v>
      </c>
      <c r="AV17" s="67">
        <f t="shared" si="21"/>
        <v>14705</v>
      </c>
      <c r="AW17" s="278">
        <f t="shared" si="18"/>
        <v>62175</v>
      </c>
      <c r="AX17" s="67"/>
      <c r="AY17" s="173"/>
    </row>
    <row r="18" spans="1:51" ht="20.100000000000001" customHeight="1" x14ac:dyDescent="0.25">
      <c r="A18" s="21">
        <v>9</v>
      </c>
      <c r="B18" s="33" t="s">
        <v>284</v>
      </c>
      <c r="C18" s="252">
        <v>417405528</v>
      </c>
      <c r="D18" s="74" t="s">
        <v>141</v>
      </c>
      <c r="E18" s="312" t="s">
        <v>401</v>
      </c>
      <c r="F18" s="311" t="s">
        <v>395</v>
      </c>
      <c r="G18" s="76">
        <v>22</v>
      </c>
      <c r="H18" s="35">
        <v>0</v>
      </c>
      <c r="I18" s="35">
        <f t="shared" si="0"/>
        <v>0</v>
      </c>
      <c r="J18" s="77">
        <v>14000</v>
      </c>
      <c r="K18" s="48">
        <f t="shared" si="1"/>
        <v>14000</v>
      </c>
      <c r="L18" s="112"/>
      <c r="M18" s="486">
        <v>60000</v>
      </c>
      <c r="N18" s="48">
        <f t="shared" si="2"/>
        <v>60000</v>
      </c>
      <c r="O18" s="28">
        <f t="shared" si="3"/>
        <v>77240</v>
      </c>
      <c r="P18" s="48">
        <f t="shared" si="4"/>
        <v>0</v>
      </c>
      <c r="Q18" s="523">
        <f t="shared" si="5"/>
        <v>5.3999999999999999E-2</v>
      </c>
      <c r="R18" s="77">
        <v>9</v>
      </c>
      <c r="S18" s="586" t="s">
        <v>104</v>
      </c>
      <c r="T18" s="590">
        <f t="shared" si="6"/>
        <v>3240</v>
      </c>
      <c r="U18" s="31"/>
      <c r="V18" s="48">
        <f t="shared" si="7"/>
        <v>0</v>
      </c>
      <c r="W18" s="31"/>
      <c r="X18" s="48">
        <f t="shared" si="8"/>
        <v>0</v>
      </c>
      <c r="Y18" s="31"/>
      <c r="Z18" s="48">
        <f t="shared" si="9"/>
        <v>0</v>
      </c>
      <c r="AA18" s="31"/>
      <c r="AB18" s="48">
        <f t="shared" si="10"/>
        <v>0</v>
      </c>
      <c r="AC18" s="31">
        <v>0</v>
      </c>
      <c r="AD18" s="48">
        <f t="shared" si="11"/>
        <v>0</v>
      </c>
      <c r="AE18" s="48">
        <v>0</v>
      </c>
      <c r="AF18" s="48">
        <v>0</v>
      </c>
      <c r="AG18" s="48">
        <v>0</v>
      </c>
      <c r="AH18" s="48">
        <v>0</v>
      </c>
      <c r="AI18" s="48">
        <v>0</v>
      </c>
      <c r="AJ18" s="280">
        <v>0</v>
      </c>
      <c r="AK18" s="283">
        <f t="shared" si="12"/>
        <v>77240</v>
      </c>
      <c r="AL18" s="60">
        <v>0</v>
      </c>
      <c r="AM18" s="60">
        <v>0</v>
      </c>
      <c r="AN18" s="60">
        <f t="shared" si="19"/>
        <v>7338</v>
      </c>
      <c r="AO18" s="36">
        <f t="shared" si="14"/>
        <v>1313</v>
      </c>
      <c r="AP18" s="30">
        <v>0</v>
      </c>
      <c r="AQ18" s="36">
        <f t="shared" si="20"/>
        <v>0</v>
      </c>
      <c r="AR18" s="26">
        <f t="shared" si="16"/>
        <v>6141</v>
      </c>
      <c r="AS18" s="26">
        <v>0</v>
      </c>
      <c r="AT18" s="26">
        <v>0</v>
      </c>
      <c r="AU18" s="26">
        <v>0</v>
      </c>
      <c r="AV18" s="67">
        <f t="shared" si="21"/>
        <v>14792</v>
      </c>
      <c r="AW18" s="278">
        <f t="shared" si="18"/>
        <v>62448</v>
      </c>
      <c r="AX18" s="67"/>
      <c r="AY18" s="173"/>
    </row>
    <row r="19" spans="1:51" ht="20.100000000000001" customHeight="1" x14ac:dyDescent="0.25">
      <c r="A19" s="37">
        <v>10</v>
      </c>
      <c r="B19" s="571" t="s">
        <v>285</v>
      </c>
      <c r="C19" s="572">
        <v>487366529</v>
      </c>
      <c r="D19" s="573" t="s">
        <v>139</v>
      </c>
      <c r="E19" s="574" t="s">
        <v>401</v>
      </c>
      <c r="F19" s="575" t="s">
        <v>395</v>
      </c>
      <c r="G19" s="576">
        <v>22</v>
      </c>
      <c r="H19" s="367">
        <v>0</v>
      </c>
      <c r="I19" s="367">
        <f t="shared" si="0"/>
        <v>0</v>
      </c>
      <c r="J19" s="364">
        <v>14000</v>
      </c>
      <c r="K19" s="577">
        <f t="shared" si="1"/>
        <v>14000</v>
      </c>
      <c r="L19" s="578"/>
      <c r="M19" s="579">
        <v>60000</v>
      </c>
      <c r="N19" s="577">
        <f t="shared" si="2"/>
        <v>60000</v>
      </c>
      <c r="O19" s="367">
        <f t="shared" si="3"/>
        <v>77600</v>
      </c>
      <c r="P19" s="577">
        <f t="shared" si="4"/>
        <v>0</v>
      </c>
      <c r="Q19" s="588">
        <f t="shared" si="5"/>
        <v>0.06</v>
      </c>
      <c r="R19" s="364">
        <v>10</v>
      </c>
      <c r="S19" s="587" t="s">
        <v>101</v>
      </c>
      <c r="T19" s="591">
        <f t="shared" si="6"/>
        <v>3600</v>
      </c>
      <c r="U19" s="580"/>
      <c r="V19" s="577">
        <f t="shared" si="7"/>
        <v>0</v>
      </c>
      <c r="W19" s="580"/>
      <c r="X19" s="577">
        <f t="shared" si="8"/>
        <v>0</v>
      </c>
      <c r="Y19" s="580"/>
      <c r="Z19" s="577">
        <f t="shared" si="9"/>
        <v>0</v>
      </c>
      <c r="AA19" s="580"/>
      <c r="AB19" s="577">
        <f t="shared" si="10"/>
        <v>0</v>
      </c>
      <c r="AC19" s="580">
        <v>0</v>
      </c>
      <c r="AD19" s="577">
        <f t="shared" si="11"/>
        <v>0</v>
      </c>
      <c r="AE19" s="577">
        <v>0</v>
      </c>
      <c r="AF19" s="577">
        <v>0</v>
      </c>
      <c r="AG19" s="577">
        <v>0</v>
      </c>
      <c r="AH19" s="577">
        <v>0</v>
      </c>
      <c r="AI19" s="577">
        <v>0</v>
      </c>
      <c r="AJ19" s="581">
        <v>0</v>
      </c>
      <c r="AK19" s="582">
        <f t="shared" si="12"/>
        <v>77600</v>
      </c>
      <c r="AL19" s="583">
        <v>0</v>
      </c>
      <c r="AM19" s="583">
        <v>0</v>
      </c>
      <c r="AN19" s="583">
        <f t="shared" si="19"/>
        <v>7372</v>
      </c>
      <c r="AO19" s="584">
        <f t="shared" si="14"/>
        <v>1319</v>
      </c>
      <c r="AP19" s="585">
        <v>0</v>
      </c>
      <c r="AQ19" s="584">
        <f t="shared" si="20"/>
        <v>0</v>
      </c>
      <c r="AR19" s="42">
        <f t="shared" si="16"/>
        <v>6188</v>
      </c>
      <c r="AS19" s="42">
        <v>0</v>
      </c>
      <c r="AT19" s="42">
        <v>0</v>
      </c>
      <c r="AU19" s="42">
        <v>0</v>
      </c>
      <c r="AV19" s="65">
        <f t="shared" si="21"/>
        <v>14879</v>
      </c>
      <c r="AW19" s="68">
        <f t="shared" si="18"/>
        <v>62721</v>
      </c>
      <c r="AX19" s="65"/>
      <c r="AY19" s="171"/>
    </row>
    <row r="20" spans="1:51" ht="20.100000000000001" customHeight="1" x14ac:dyDescent="0.25">
      <c r="A20" s="32">
        <v>11</v>
      </c>
      <c r="B20" s="33" t="s">
        <v>315</v>
      </c>
      <c r="C20" s="252">
        <v>736380887</v>
      </c>
      <c r="D20" s="74" t="s">
        <v>140</v>
      </c>
      <c r="E20" s="312" t="s">
        <v>454</v>
      </c>
      <c r="F20" s="310" t="s">
        <v>110</v>
      </c>
      <c r="G20" s="75">
        <v>22</v>
      </c>
      <c r="H20" s="35">
        <v>0</v>
      </c>
      <c r="I20" s="35">
        <f t="shared" ref="I20:I29" si="22">IF(22-(G20+H20)&lt;0,"KUJDES",22-(G20+H20))</f>
        <v>0</v>
      </c>
      <c r="J20" s="77"/>
      <c r="K20" s="48">
        <f t="shared" ref="K20:K29" si="23">ROUND(J20*(G20/22),0)</f>
        <v>0</v>
      </c>
      <c r="L20" s="111"/>
      <c r="M20" s="485">
        <v>44000</v>
      </c>
      <c r="N20" s="48">
        <f t="shared" ref="N20:N29" si="24">ROUND(M20*(G20/22),0)</f>
        <v>44000</v>
      </c>
      <c r="O20" s="28">
        <f t="shared" ref="O20:O29" si="25">IF(22-(G20+H20)&lt;0,"GABIM",K20+N20+T20+V20+X20+Z20+AB20+AD20)</f>
        <v>48841</v>
      </c>
      <c r="P20" s="48">
        <f t="shared" ref="P20:P29" si="26">ROUND(O20*(H20/G20)*raport_mjekesor,0)</f>
        <v>0</v>
      </c>
      <c r="Q20" s="589">
        <f>IF(R20&lt;=25,R20*1%,25%)</f>
        <v>0.11</v>
      </c>
      <c r="R20" s="77">
        <v>11</v>
      </c>
      <c r="S20" s="586" t="s">
        <v>101</v>
      </c>
      <c r="T20" s="590">
        <f t="shared" si="6"/>
        <v>4840</v>
      </c>
      <c r="U20" s="35"/>
      <c r="V20" s="48">
        <f t="shared" ref="V20:V29" si="27">ROUND(U20*(G20/22),0)</f>
        <v>0</v>
      </c>
      <c r="W20" s="35"/>
      <c r="X20" s="48">
        <f t="shared" ref="X20:X29" si="28">ROUND(W20*(G20/22),0)</f>
        <v>0</v>
      </c>
      <c r="Y20" s="35"/>
      <c r="Z20" s="48">
        <f t="shared" ref="Z20:Z29" si="29">ROUND(Y20*(G20/22),0)</f>
        <v>0</v>
      </c>
      <c r="AA20" s="35"/>
      <c r="AB20" s="48">
        <f t="shared" ref="AB20:AB29" si="30">ROUND(AA20*(G20/22),0)</f>
        <v>0</v>
      </c>
      <c r="AC20" s="35">
        <v>1</v>
      </c>
      <c r="AD20" s="48">
        <f t="shared" ref="AD20:AD29" si="31">ROUND(AC20*(G20/22),0)</f>
        <v>1</v>
      </c>
      <c r="AE20" s="48">
        <v>0</v>
      </c>
      <c r="AF20" s="48">
        <v>0</v>
      </c>
      <c r="AG20" s="48">
        <v>0</v>
      </c>
      <c r="AH20" s="48">
        <v>0</v>
      </c>
      <c r="AI20" s="48">
        <v>0</v>
      </c>
      <c r="AJ20" s="280">
        <v>0</v>
      </c>
      <c r="AK20" s="283">
        <f t="shared" ref="AK20:AK29" si="32">K20+N20+P20+T20+V20+X20+Z20+AB20+AD20+AE20+AF20+AG20+AH20+AI20+AJ20</f>
        <v>48841</v>
      </c>
      <c r="AL20" s="60">
        <v>0</v>
      </c>
      <c r="AM20" s="60">
        <v>0</v>
      </c>
      <c r="AN20" s="60">
        <f t="shared" si="19"/>
        <v>4640</v>
      </c>
      <c r="AO20" s="36">
        <f t="shared" si="14"/>
        <v>830</v>
      </c>
      <c r="AP20" s="29">
        <v>0</v>
      </c>
      <c r="AQ20" s="36">
        <f t="shared" si="20"/>
        <v>0</v>
      </c>
      <c r="AR20" s="36">
        <f t="shared" si="16"/>
        <v>0</v>
      </c>
      <c r="AS20" s="36">
        <v>0</v>
      </c>
      <c r="AT20" s="36">
        <v>0</v>
      </c>
      <c r="AU20" s="36">
        <v>0</v>
      </c>
      <c r="AV20" s="66">
        <f t="shared" si="21"/>
        <v>5470</v>
      </c>
      <c r="AW20" s="277">
        <f t="shared" ref="AW20:AW29" si="33">AK20-AV20</f>
        <v>43371</v>
      </c>
      <c r="AX20" s="66"/>
      <c r="AY20" s="172"/>
    </row>
    <row r="21" spans="1:51" ht="20.100000000000001" customHeight="1" x14ac:dyDescent="0.25">
      <c r="A21" s="21">
        <v>12</v>
      </c>
      <c r="B21" s="33" t="s">
        <v>316</v>
      </c>
      <c r="C21" s="252">
        <v>521053788</v>
      </c>
      <c r="D21" s="74" t="s">
        <v>141</v>
      </c>
      <c r="E21" s="313" t="s">
        <v>454</v>
      </c>
      <c r="F21" s="311" t="s">
        <v>110</v>
      </c>
      <c r="G21" s="76">
        <v>22</v>
      </c>
      <c r="H21" s="35">
        <v>0</v>
      </c>
      <c r="I21" s="35">
        <f t="shared" si="22"/>
        <v>0</v>
      </c>
      <c r="J21" s="77"/>
      <c r="K21" s="48">
        <f t="shared" si="23"/>
        <v>0</v>
      </c>
      <c r="L21" s="112"/>
      <c r="M21" s="486">
        <v>44000</v>
      </c>
      <c r="N21" s="48">
        <f t="shared" si="24"/>
        <v>44000</v>
      </c>
      <c r="O21" s="28">
        <f t="shared" si="25"/>
        <v>49282</v>
      </c>
      <c r="P21" s="48">
        <f t="shared" si="26"/>
        <v>0</v>
      </c>
      <c r="Q21" s="589">
        <f t="shared" ref="Q21:Q29" si="34">IF(R21&lt;=25,R21*1%,25%)</f>
        <v>0.12</v>
      </c>
      <c r="R21" s="77">
        <v>12</v>
      </c>
      <c r="S21" s="586" t="s">
        <v>101</v>
      </c>
      <c r="T21" s="590">
        <f t="shared" si="6"/>
        <v>5280</v>
      </c>
      <c r="U21" s="31"/>
      <c r="V21" s="48">
        <f t="shared" si="27"/>
        <v>0</v>
      </c>
      <c r="W21" s="31"/>
      <c r="X21" s="48">
        <f t="shared" si="28"/>
        <v>0</v>
      </c>
      <c r="Y21" s="31"/>
      <c r="Z21" s="48">
        <f t="shared" si="29"/>
        <v>0</v>
      </c>
      <c r="AA21" s="31"/>
      <c r="AB21" s="48">
        <f t="shared" si="30"/>
        <v>0</v>
      </c>
      <c r="AC21" s="31">
        <v>2</v>
      </c>
      <c r="AD21" s="48">
        <f t="shared" si="31"/>
        <v>2</v>
      </c>
      <c r="AE21" s="48">
        <v>0</v>
      </c>
      <c r="AF21" s="48">
        <v>0</v>
      </c>
      <c r="AG21" s="48">
        <v>0</v>
      </c>
      <c r="AH21" s="48">
        <v>0</v>
      </c>
      <c r="AI21" s="48">
        <v>0</v>
      </c>
      <c r="AJ21" s="280">
        <v>0</v>
      </c>
      <c r="AK21" s="283">
        <f t="shared" si="32"/>
        <v>49282</v>
      </c>
      <c r="AL21" s="60">
        <v>0</v>
      </c>
      <c r="AM21" s="60">
        <v>0</v>
      </c>
      <c r="AN21" s="60">
        <f t="shared" si="19"/>
        <v>4682</v>
      </c>
      <c r="AO21" s="36">
        <f t="shared" si="14"/>
        <v>838</v>
      </c>
      <c r="AP21" s="30">
        <v>0</v>
      </c>
      <c r="AQ21" s="36">
        <f t="shared" si="20"/>
        <v>0</v>
      </c>
      <c r="AR21" s="26">
        <f t="shared" si="16"/>
        <v>0</v>
      </c>
      <c r="AS21" s="26">
        <v>0</v>
      </c>
      <c r="AT21" s="26">
        <v>0</v>
      </c>
      <c r="AU21" s="26">
        <v>0</v>
      </c>
      <c r="AV21" s="67">
        <f t="shared" si="21"/>
        <v>5520</v>
      </c>
      <c r="AW21" s="278">
        <f t="shared" si="33"/>
        <v>43762</v>
      </c>
      <c r="AX21" s="67"/>
      <c r="AY21" s="173"/>
    </row>
    <row r="22" spans="1:51" ht="20.100000000000001" customHeight="1" x14ac:dyDescent="0.25">
      <c r="A22" s="21">
        <v>13</v>
      </c>
      <c r="B22" s="33" t="s">
        <v>317</v>
      </c>
      <c r="C22" s="252">
        <v>127338733</v>
      </c>
      <c r="D22" s="74" t="s">
        <v>139</v>
      </c>
      <c r="E22" s="313" t="s">
        <v>454</v>
      </c>
      <c r="F22" s="311" t="s">
        <v>110</v>
      </c>
      <c r="G22" s="76">
        <v>22</v>
      </c>
      <c r="H22" s="35">
        <v>0</v>
      </c>
      <c r="I22" s="35">
        <f t="shared" si="22"/>
        <v>0</v>
      </c>
      <c r="J22" s="77"/>
      <c r="K22" s="48">
        <f t="shared" si="23"/>
        <v>0</v>
      </c>
      <c r="L22" s="112"/>
      <c r="M22" s="486">
        <v>44000</v>
      </c>
      <c r="N22" s="48">
        <f t="shared" si="24"/>
        <v>44000</v>
      </c>
      <c r="O22" s="28">
        <f t="shared" si="25"/>
        <v>49723</v>
      </c>
      <c r="P22" s="48">
        <f t="shared" si="26"/>
        <v>0</v>
      </c>
      <c r="Q22" s="589">
        <f t="shared" si="34"/>
        <v>0.13</v>
      </c>
      <c r="R22" s="77">
        <v>13</v>
      </c>
      <c r="S22" s="586" t="s">
        <v>101</v>
      </c>
      <c r="T22" s="590">
        <f t="shared" si="6"/>
        <v>5720</v>
      </c>
      <c r="U22" s="31"/>
      <c r="V22" s="48">
        <f t="shared" si="27"/>
        <v>0</v>
      </c>
      <c r="W22" s="31"/>
      <c r="X22" s="48">
        <f t="shared" si="28"/>
        <v>0</v>
      </c>
      <c r="Y22" s="31"/>
      <c r="Z22" s="48">
        <f t="shared" si="29"/>
        <v>0</v>
      </c>
      <c r="AA22" s="31"/>
      <c r="AB22" s="48">
        <f t="shared" si="30"/>
        <v>0</v>
      </c>
      <c r="AC22" s="31">
        <v>3</v>
      </c>
      <c r="AD22" s="48">
        <f t="shared" si="31"/>
        <v>3</v>
      </c>
      <c r="AE22" s="48">
        <v>0</v>
      </c>
      <c r="AF22" s="48">
        <v>0</v>
      </c>
      <c r="AG22" s="48">
        <v>0</v>
      </c>
      <c r="AH22" s="48">
        <v>0</v>
      </c>
      <c r="AI22" s="48">
        <v>0</v>
      </c>
      <c r="AJ22" s="280">
        <v>0</v>
      </c>
      <c r="AK22" s="283">
        <f t="shared" si="32"/>
        <v>49723</v>
      </c>
      <c r="AL22" s="60">
        <v>0</v>
      </c>
      <c r="AM22" s="60">
        <v>0</v>
      </c>
      <c r="AN22" s="60">
        <f t="shared" si="19"/>
        <v>4724</v>
      </c>
      <c r="AO22" s="36">
        <f t="shared" si="14"/>
        <v>845</v>
      </c>
      <c r="AP22" s="30">
        <v>0</v>
      </c>
      <c r="AQ22" s="36">
        <f t="shared" si="20"/>
        <v>0</v>
      </c>
      <c r="AR22" s="26">
        <f t="shared" si="16"/>
        <v>0</v>
      </c>
      <c r="AS22" s="26">
        <v>0</v>
      </c>
      <c r="AT22" s="26">
        <v>0</v>
      </c>
      <c r="AU22" s="26">
        <v>0</v>
      </c>
      <c r="AV22" s="67">
        <f t="shared" si="21"/>
        <v>5569</v>
      </c>
      <c r="AW22" s="278">
        <f t="shared" si="33"/>
        <v>44154</v>
      </c>
      <c r="AX22" s="67"/>
      <c r="AY22" s="173"/>
    </row>
    <row r="23" spans="1:51" ht="20.100000000000001" customHeight="1" x14ac:dyDescent="0.25">
      <c r="A23" s="21">
        <v>14</v>
      </c>
      <c r="B23" s="33" t="s">
        <v>318</v>
      </c>
      <c r="C23" s="252">
        <v>197633557</v>
      </c>
      <c r="D23" s="74" t="s">
        <v>140</v>
      </c>
      <c r="E23" s="313" t="s">
        <v>454</v>
      </c>
      <c r="F23" s="311" t="s">
        <v>110</v>
      </c>
      <c r="G23" s="76">
        <v>22</v>
      </c>
      <c r="H23" s="35">
        <v>0</v>
      </c>
      <c r="I23" s="35">
        <f t="shared" si="22"/>
        <v>0</v>
      </c>
      <c r="J23" s="77"/>
      <c r="K23" s="48">
        <f t="shared" si="23"/>
        <v>0</v>
      </c>
      <c r="L23" s="112"/>
      <c r="M23" s="486">
        <v>44000</v>
      </c>
      <c r="N23" s="48">
        <f t="shared" si="24"/>
        <v>44000</v>
      </c>
      <c r="O23" s="28">
        <f t="shared" si="25"/>
        <v>50164</v>
      </c>
      <c r="P23" s="48">
        <f t="shared" si="26"/>
        <v>0</v>
      </c>
      <c r="Q23" s="589">
        <f t="shared" si="34"/>
        <v>0.14000000000000001</v>
      </c>
      <c r="R23" s="77">
        <v>14</v>
      </c>
      <c r="S23" s="586" t="s">
        <v>101</v>
      </c>
      <c r="T23" s="590">
        <f t="shared" si="6"/>
        <v>6160</v>
      </c>
      <c r="U23" s="31"/>
      <c r="V23" s="48">
        <f t="shared" si="27"/>
        <v>0</v>
      </c>
      <c r="W23" s="31"/>
      <c r="X23" s="48">
        <f t="shared" si="28"/>
        <v>0</v>
      </c>
      <c r="Y23" s="31"/>
      <c r="Z23" s="48">
        <f t="shared" si="29"/>
        <v>0</v>
      </c>
      <c r="AA23" s="31"/>
      <c r="AB23" s="48">
        <f t="shared" si="30"/>
        <v>0</v>
      </c>
      <c r="AC23" s="31">
        <v>4</v>
      </c>
      <c r="AD23" s="48">
        <f t="shared" si="31"/>
        <v>4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280">
        <v>0</v>
      </c>
      <c r="AK23" s="283">
        <f t="shared" si="32"/>
        <v>50164</v>
      </c>
      <c r="AL23" s="60">
        <v>0</v>
      </c>
      <c r="AM23" s="60">
        <v>0</v>
      </c>
      <c r="AN23" s="60">
        <f t="shared" si="19"/>
        <v>4766</v>
      </c>
      <c r="AO23" s="36">
        <f t="shared" si="14"/>
        <v>853</v>
      </c>
      <c r="AP23" s="30">
        <v>0</v>
      </c>
      <c r="AQ23" s="36">
        <f t="shared" si="20"/>
        <v>0</v>
      </c>
      <c r="AR23" s="26">
        <f t="shared" si="16"/>
        <v>1971</v>
      </c>
      <c r="AS23" s="26">
        <v>0</v>
      </c>
      <c r="AT23" s="26">
        <v>0</v>
      </c>
      <c r="AU23" s="26">
        <v>0</v>
      </c>
      <c r="AV23" s="67">
        <f t="shared" si="21"/>
        <v>7590</v>
      </c>
      <c r="AW23" s="278">
        <f t="shared" si="33"/>
        <v>42574</v>
      </c>
      <c r="AX23" s="67"/>
      <c r="AY23" s="173"/>
    </row>
    <row r="24" spans="1:51" ht="20.100000000000001" customHeight="1" x14ac:dyDescent="0.25">
      <c r="A24" s="21">
        <v>15</v>
      </c>
      <c r="B24" s="33" t="s">
        <v>319</v>
      </c>
      <c r="C24" s="252">
        <v>875569522</v>
      </c>
      <c r="D24" s="74" t="s">
        <v>327</v>
      </c>
      <c r="E24" s="313" t="s">
        <v>454</v>
      </c>
      <c r="F24" s="311" t="s">
        <v>110</v>
      </c>
      <c r="G24" s="76">
        <v>22</v>
      </c>
      <c r="H24" s="35">
        <v>0</v>
      </c>
      <c r="I24" s="35">
        <f t="shared" si="22"/>
        <v>0</v>
      </c>
      <c r="J24" s="77"/>
      <c r="K24" s="48">
        <f t="shared" si="23"/>
        <v>0</v>
      </c>
      <c r="L24" s="112"/>
      <c r="M24" s="486">
        <v>44000</v>
      </c>
      <c r="N24" s="48">
        <f t="shared" si="24"/>
        <v>44000</v>
      </c>
      <c r="O24" s="28">
        <f t="shared" si="25"/>
        <v>50605</v>
      </c>
      <c r="P24" s="48">
        <f t="shared" si="26"/>
        <v>0</v>
      </c>
      <c r="Q24" s="589">
        <f t="shared" si="34"/>
        <v>0.15</v>
      </c>
      <c r="R24" s="77">
        <v>15</v>
      </c>
      <c r="S24" s="586" t="s">
        <v>101</v>
      </c>
      <c r="T24" s="590">
        <f t="shared" si="6"/>
        <v>6600</v>
      </c>
      <c r="U24" s="31"/>
      <c r="V24" s="48">
        <f t="shared" si="27"/>
        <v>0</v>
      </c>
      <c r="W24" s="31"/>
      <c r="X24" s="48">
        <f t="shared" si="28"/>
        <v>0</v>
      </c>
      <c r="Y24" s="31"/>
      <c r="Z24" s="48">
        <f t="shared" si="29"/>
        <v>0</v>
      </c>
      <c r="AA24" s="31"/>
      <c r="AB24" s="48">
        <f t="shared" si="30"/>
        <v>0</v>
      </c>
      <c r="AC24" s="31">
        <v>5</v>
      </c>
      <c r="AD24" s="48">
        <f t="shared" si="31"/>
        <v>5</v>
      </c>
      <c r="AE24" s="48">
        <v>0</v>
      </c>
      <c r="AF24" s="48">
        <v>0</v>
      </c>
      <c r="AG24" s="48">
        <v>0</v>
      </c>
      <c r="AH24" s="48">
        <v>0</v>
      </c>
      <c r="AI24" s="48">
        <v>0</v>
      </c>
      <c r="AJ24" s="280">
        <v>0</v>
      </c>
      <c r="AK24" s="283">
        <f t="shared" si="32"/>
        <v>50605</v>
      </c>
      <c r="AL24" s="60">
        <v>0</v>
      </c>
      <c r="AM24" s="60">
        <v>0</v>
      </c>
      <c r="AN24" s="60">
        <f t="shared" si="19"/>
        <v>4807</v>
      </c>
      <c r="AO24" s="36">
        <f t="shared" si="14"/>
        <v>860</v>
      </c>
      <c r="AP24" s="30">
        <v>0</v>
      </c>
      <c r="AQ24" s="36">
        <f t="shared" si="20"/>
        <v>0</v>
      </c>
      <c r="AR24" s="26">
        <f t="shared" si="16"/>
        <v>2029</v>
      </c>
      <c r="AS24" s="26">
        <v>0</v>
      </c>
      <c r="AT24" s="26">
        <v>0</v>
      </c>
      <c r="AU24" s="26">
        <v>0</v>
      </c>
      <c r="AV24" s="67">
        <f t="shared" si="21"/>
        <v>7696</v>
      </c>
      <c r="AW24" s="278">
        <f t="shared" si="33"/>
        <v>42909</v>
      </c>
      <c r="AX24" s="67"/>
      <c r="AY24" s="173"/>
    </row>
    <row r="25" spans="1:51" ht="20.100000000000001" customHeight="1" x14ac:dyDescent="0.25">
      <c r="A25" s="21">
        <v>16</v>
      </c>
      <c r="B25" s="33" t="s">
        <v>320</v>
      </c>
      <c r="C25" s="252">
        <v>955368715</v>
      </c>
      <c r="D25" s="74" t="s">
        <v>330</v>
      </c>
      <c r="E25" s="313" t="s">
        <v>454</v>
      </c>
      <c r="F25" s="311" t="s">
        <v>110</v>
      </c>
      <c r="G25" s="76">
        <v>22</v>
      </c>
      <c r="H25" s="35">
        <v>0</v>
      </c>
      <c r="I25" s="35">
        <f t="shared" si="22"/>
        <v>0</v>
      </c>
      <c r="J25" s="77"/>
      <c r="K25" s="48">
        <f t="shared" si="23"/>
        <v>0</v>
      </c>
      <c r="L25" s="112"/>
      <c r="M25" s="486">
        <v>44000</v>
      </c>
      <c r="N25" s="48">
        <f t="shared" si="24"/>
        <v>44000</v>
      </c>
      <c r="O25" s="28">
        <f t="shared" si="25"/>
        <v>51046</v>
      </c>
      <c r="P25" s="48">
        <f t="shared" si="26"/>
        <v>0</v>
      </c>
      <c r="Q25" s="589">
        <f t="shared" si="34"/>
        <v>0.16</v>
      </c>
      <c r="R25" s="77">
        <v>16</v>
      </c>
      <c r="S25" s="586" t="s">
        <v>101</v>
      </c>
      <c r="T25" s="590">
        <f t="shared" si="6"/>
        <v>7040</v>
      </c>
      <c r="U25" s="31"/>
      <c r="V25" s="48">
        <f t="shared" si="27"/>
        <v>0</v>
      </c>
      <c r="W25" s="31"/>
      <c r="X25" s="48">
        <f t="shared" si="28"/>
        <v>0</v>
      </c>
      <c r="Y25" s="31"/>
      <c r="Z25" s="48">
        <f t="shared" si="29"/>
        <v>0</v>
      </c>
      <c r="AA25" s="31"/>
      <c r="AB25" s="48">
        <f t="shared" si="30"/>
        <v>0</v>
      </c>
      <c r="AC25" s="31">
        <v>6</v>
      </c>
      <c r="AD25" s="48">
        <f t="shared" si="31"/>
        <v>6</v>
      </c>
      <c r="AE25" s="48">
        <v>0</v>
      </c>
      <c r="AF25" s="48">
        <v>0</v>
      </c>
      <c r="AG25" s="48">
        <v>0</v>
      </c>
      <c r="AH25" s="48">
        <v>0</v>
      </c>
      <c r="AI25" s="48">
        <v>0</v>
      </c>
      <c r="AJ25" s="280">
        <v>0</v>
      </c>
      <c r="AK25" s="283">
        <f t="shared" si="32"/>
        <v>51046</v>
      </c>
      <c r="AL25" s="60">
        <v>0</v>
      </c>
      <c r="AM25" s="60">
        <v>0</v>
      </c>
      <c r="AN25" s="60">
        <f t="shared" si="19"/>
        <v>4849</v>
      </c>
      <c r="AO25" s="36">
        <f t="shared" si="14"/>
        <v>868</v>
      </c>
      <c r="AP25" s="30">
        <v>0</v>
      </c>
      <c r="AQ25" s="36">
        <f t="shared" si="20"/>
        <v>0</v>
      </c>
      <c r="AR25" s="26">
        <f t="shared" si="16"/>
        <v>2086</v>
      </c>
      <c r="AS25" s="26">
        <v>0</v>
      </c>
      <c r="AT25" s="26">
        <v>0</v>
      </c>
      <c r="AU25" s="26">
        <v>0</v>
      </c>
      <c r="AV25" s="67">
        <f t="shared" si="21"/>
        <v>7803</v>
      </c>
      <c r="AW25" s="278">
        <f t="shared" si="33"/>
        <v>43243</v>
      </c>
      <c r="AX25" s="67"/>
      <c r="AY25" s="173"/>
    </row>
    <row r="26" spans="1:51" ht="20.100000000000001" customHeight="1" x14ac:dyDescent="0.25">
      <c r="A26" s="21">
        <v>17</v>
      </c>
      <c r="B26" s="33" t="s">
        <v>321</v>
      </c>
      <c r="C26" s="252">
        <v>518346403</v>
      </c>
      <c r="D26" s="74" t="s">
        <v>137</v>
      </c>
      <c r="E26" s="313" t="s">
        <v>454</v>
      </c>
      <c r="F26" s="311" t="s">
        <v>110</v>
      </c>
      <c r="G26" s="76">
        <v>22</v>
      </c>
      <c r="H26" s="35">
        <v>0</v>
      </c>
      <c r="I26" s="35">
        <f t="shared" si="22"/>
        <v>0</v>
      </c>
      <c r="J26" s="77"/>
      <c r="K26" s="48">
        <f t="shared" si="23"/>
        <v>0</v>
      </c>
      <c r="L26" s="112"/>
      <c r="M26" s="486">
        <v>44000</v>
      </c>
      <c r="N26" s="48">
        <f t="shared" si="24"/>
        <v>44000</v>
      </c>
      <c r="O26" s="28">
        <f t="shared" si="25"/>
        <v>51487</v>
      </c>
      <c r="P26" s="48">
        <f t="shared" si="26"/>
        <v>0</v>
      </c>
      <c r="Q26" s="589">
        <f t="shared" si="34"/>
        <v>0.17</v>
      </c>
      <c r="R26" s="77">
        <v>17</v>
      </c>
      <c r="S26" s="586" t="s">
        <v>101</v>
      </c>
      <c r="T26" s="590">
        <f t="shared" si="6"/>
        <v>7480</v>
      </c>
      <c r="U26" s="31"/>
      <c r="V26" s="48">
        <f t="shared" si="27"/>
        <v>0</v>
      </c>
      <c r="W26" s="31"/>
      <c r="X26" s="48">
        <f t="shared" si="28"/>
        <v>0</v>
      </c>
      <c r="Y26" s="31"/>
      <c r="Z26" s="48">
        <f t="shared" si="29"/>
        <v>0</v>
      </c>
      <c r="AA26" s="31"/>
      <c r="AB26" s="48">
        <f t="shared" si="30"/>
        <v>0</v>
      </c>
      <c r="AC26" s="31">
        <v>7</v>
      </c>
      <c r="AD26" s="48">
        <f t="shared" si="31"/>
        <v>7</v>
      </c>
      <c r="AE26" s="48">
        <v>0</v>
      </c>
      <c r="AF26" s="48">
        <v>0</v>
      </c>
      <c r="AG26" s="48">
        <v>0</v>
      </c>
      <c r="AH26" s="48">
        <v>0</v>
      </c>
      <c r="AI26" s="48">
        <v>0</v>
      </c>
      <c r="AJ26" s="280">
        <v>0</v>
      </c>
      <c r="AK26" s="283">
        <f t="shared" si="32"/>
        <v>51487</v>
      </c>
      <c r="AL26" s="60">
        <v>0</v>
      </c>
      <c r="AM26" s="60">
        <v>0</v>
      </c>
      <c r="AN26" s="60">
        <f t="shared" si="19"/>
        <v>4891</v>
      </c>
      <c r="AO26" s="36">
        <f t="shared" si="14"/>
        <v>875</v>
      </c>
      <c r="AP26" s="30">
        <v>0</v>
      </c>
      <c r="AQ26" s="36">
        <f t="shared" si="20"/>
        <v>0</v>
      </c>
      <c r="AR26" s="26">
        <f t="shared" si="16"/>
        <v>2143</v>
      </c>
      <c r="AS26" s="26">
        <v>0</v>
      </c>
      <c r="AT26" s="26">
        <v>0</v>
      </c>
      <c r="AU26" s="26">
        <v>0</v>
      </c>
      <c r="AV26" s="67">
        <f t="shared" si="21"/>
        <v>7909</v>
      </c>
      <c r="AW26" s="278">
        <f t="shared" si="33"/>
        <v>43578</v>
      </c>
      <c r="AX26" s="67"/>
      <c r="AY26" s="173"/>
    </row>
    <row r="27" spans="1:51" ht="20.100000000000001" customHeight="1" x14ac:dyDescent="0.25">
      <c r="A27" s="21">
        <v>18</v>
      </c>
      <c r="B27" s="33" t="s">
        <v>322</v>
      </c>
      <c r="C27" s="252">
        <v>568606104</v>
      </c>
      <c r="D27" s="74" t="s">
        <v>328</v>
      </c>
      <c r="E27" s="313" t="s">
        <v>454</v>
      </c>
      <c r="F27" s="311" t="s">
        <v>110</v>
      </c>
      <c r="G27" s="76">
        <v>22</v>
      </c>
      <c r="H27" s="35">
        <v>0</v>
      </c>
      <c r="I27" s="35">
        <f t="shared" si="22"/>
        <v>0</v>
      </c>
      <c r="J27" s="77"/>
      <c r="K27" s="48">
        <f t="shared" si="23"/>
        <v>0</v>
      </c>
      <c r="L27" s="112"/>
      <c r="M27" s="486">
        <v>44000</v>
      </c>
      <c r="N27" s="48">
        <f t="shared" si="24"/>
        <v>44000</v>
      </c>
      <c r="O27" s="28">
        <f t="shared" si="25"/>
        <v>51928</v>
      </c>
      <c r="P27" s="48">
        <f t="shared" si="26"/>
        <v>0</v>
      </c>
      <c r="Q27" s="589">
        <f t="shared" si="34"/>
        <v>0.18</v>
      </c>
      <c r="R27" s="77">
        <v>18</v>
      </c>
      <c r="S27" s="586" t="s">
        <v>101</v>
      </c>
      <c r="T27" s="590">
        <f t="shared" si="6"/>
        <v>7920</v>
      </c>
      <c r="U27" s="31"/>
      <c r="V27" s="48">
        <f t="shared" si="27"/>
        <v>0</v>
      </c>
      <c r="W27" s="31"/>
      <c r="X27" s="48">
        <f t="shared" si="28"/>
        <v>0</v>
      </c>
      <c r="Y27" s="31"/>
      <c r="Z27" s="48">
        <f t="shared" si="29"/>
        <v>0</v>
      </c>
      <c r="AA27" s="31"/>
      <c r="AB27" s="48">
        <f t="shared" si="30"/>
        <v>0</v>
      </c>
      <c r="AC27" s="31">
        <v>8</v>
      </c>
      <c r="AD27" s="48">
        <f t="shared" si="31"/>
        <v>8</v>
      </c>
      <c r="AE27" s="48">
        <v>0</v>
      </c>
      <c r="AF27" s="48">
        <v>0</v>
      </c>
      <c r="AG27" s="48">
        <v>0</v>
      </c>
      <c r="AH27" s="48">
        <v>0</v>
      </c>
      <c r="AI27" s="48">
        <v>0</v>
      </c>
      <c r="AJ27" s="280">
        <v>0</v>
      </c>
      <c r="AK27" s="283">
        <f t="shared" si="32"/>
        <v>51928</v>
      </c>
      <c r="AL27" s="60">
        <v>0</v>
      </c>
      <c r="AM27" s="60">
        <v>0</v>
      </c>
      <c r="AN27" s="60">
        <f t="shared" si="19"/>
        <v>4933</v>
      </c>
      <c r="AO27" s="36">
        <f t="shared" si="14"/>
        <v>883</v>
      </c>
      <c r="AP27" s="30">
        <v>0</v>
      </c>
      <c r="AQ27" s="36">
        <f t="shared" si="20"/>
        <v>0</v>
      </c>
      <c r="AR27" s="26">
        <f t="shared" si="16"/>
        <v>2201</v>
      </c>
      <c r="AS27" s="26">
        <v>0</v>
      </c>
      <c r="AT27" s="26">
        <v>0</v>
      </c>
      <c r="AU27" s="26">
        <v>0</v>
      </c>
      <c r="AV27" s="67">
        <f t="shared" si="21"/>
        <v>8017</v>
      </c>
      <c r="AW27" s="278">
        <f t="shared" si="33"/>
        <v>43911</v>
      </c>
      <c r="AX27" s="67"/>
      <c r="AY27" s="173"/>
    </row>
    <row r="28" spans="1:51" ht="20.100000000000001" customHeight="1" x14ac:dyDescent="0.25">
      <c r="A28" s="21">
        <v>19</v>
      </c>
      <c r="B28" s="33" t="s">
        <v>323</v>
      </c>
      <c r="C28" s="252">
        <v>963456151</v>
      </c>
      <c r="D28" s="74" t="s">
        <v>330</v>
      </c>
      <c r="E28" s="313" t="s">
        <v>454</v>
      </c>
      <c r="F28" s="311" t="s">
        <v>110</v>
      </c>
      <c r="G28" s="76">
        <v>22</v>
      </c>
      <c r="H28" s="35">
        <v>0</v>
      </c>
      <c r="I28" s="35">
        <f t="shared" si="22"/>
        <v>0</v>
      </c>
      <c r="J28" s="77"/>
      <c r="K28" s="48">
        <f t="shared" si="23"/>
        <v>0</v>
      </c>
      <c r="L28" s="112"/>
      <c r="M28" s="486">
        <v>44000</v>
      </c>
      <c r="N28" s="48">
        <f t="shared" si="24"/>
        <v>44000</v>
      </c>
      <c r="O28" s="28">
        <f t="shared" si="25"/>
        <v>52369</v>
      </c>
      <c r="P28" s="48">
        <f t="shared" si="26"/>
        <v>0</v>
      </c>
      <c r="Q28" s="589">
        <f t="shared" si="34"/>
        <v>0.19</v>
      </c>
      <c r="R28" s="77">
        <v>19</v>
      </c>
      <c r="S28" s="586" t="s">
        <v>101</v>
      </c>
      <c r="T28" s="590">
        <f t="shared" si="6"/>
        <v>8360</v>
      </c>
      <c r="U28" s="31"/>
      <c r="V28" s="48">
        <f t="shared" si="27"/>
        <v>0</v>
      </c>
      <c r="W28" s="31"/>
      <c r="X28" s="48">
        <f t="shared" si="28"/>
        <v>0</v>
      </c>
      <c r="Y28" s="31"/>
      <c r="Z28" s="48">
        <f t="shared" si="29"/>
        <v>0</v>
      </c>
      <c r="AA28" s="31"/>
      <c r="AB28" s="48">
        <f t="shared" si="30"/>
        <v>0</v>
      </c>
      <c r="AC28" s="31">
        <v>9</v>
      </c>
      <c r="AD28" s="48">
        <f t="shared" si="31"/>
        <v>9</v>
      </c>
      <c r="AE28" s="48">
        <v>0</v>
      </c>
      <c r="AF28" s="48">
        <v>0</v>
      </c>
      <c r="AG28" s="48">
        <v>0</v>
      </c>
      <c r="AH28" s="48">
        <v>0</v>
      </c>
      <c r="AI28" s="48">
        <v>0</v>
      </c>
      <c r="AJ28" s="280">
        <v>0</v>
      </c>
      <c r="AK28" s="283">
        <f t="shared" si="32"/>
        <v>52369</v>
      </c>
      <c r="AL28" s="60">
        <v>0</v>
      </c>
      <c r="AM28" s="60">
        <v>0</v>
      </c>
      <c r="AN28" s="60">
        <f t="shared" si="19"/>
        <v>4975</v>
      </c>
      <c r="AO28" s="36">
        <f t="shared" si="14"/>
        <v>890</v>
      </c>
      <c r="AP28" s="30">
        <v>0</v>
      </c>
      <c r="AQ28" s="36">
        <f t="shared" si="20"/>
        <v>0</v>
      </c>
      <c r="AR28" s="26">
        <f t="shared" si="16"/>
        <v>2258</v>
      </c>
      <c r="AS28" s="26">
        <v>0</v>
      </c>
      <c r="AT28" s="26">
        <v>0</v>
      </c>
      <c r="AU28" s="26">
        <v>0</v>
      </c>
      <c r="AV28" s="67">
        <f t="shared" si="21"/>
        <v>8123</v>
      </c>
      <c r="AW28" s="278">
        <f t="shared" si="33"/>
        <v>44246</v>
      </c>
      <c r="AX28" s="67"/>
      <c r="AY28" s="173"/>
    </row>
    <row r="29" spans="1:51" ht="20.100000000000001" customHeight="1" thickBot="1" x14ac:dyDescent="0.3">
      <c r="A29" s="21">
        <v>20</v>
      </c>
      <c r="B29" s="33" t="s">
        <v>324</v>
      </c>
      <c r="C29" s="252">
        <v>457662531</v>
      </c>
      <c r="D29" s="74" t="s">
        <v>137</v>
      </c>
      <c r="E29" s="313" t="s">
        <v>454</v>
      </c>
      <c r="F29" s="311" t="s">
        <v>110</v>
      </c>
      <c r="G29" s="76">
        <v>22</v>
      </c>
      <c r="H29" s="35">
        <v>0</v>
      </c>
      <c r="I29" s="35">
        <f t="shared" si="22"/>
        <v>0</v>
      </c>
      <c r="J29" s="77"/>
      <c r="K29" s="48">
        <f t="shared" si="23"/>
        <v>0</v>
      </c>
      <c r="L29" s="112"/>
      <c r="M29" s="486">
        <v>44000</v>
      </c>
      <c r="N29" s="48">
        <f t="shared" si="24"/>
        <v>44000</v>
      </c>
      <c r="O29" s="28">
        <f t="shared" si="25"/>
        <v>52810</v>
      </c>
      <c r="P29" s="48">
        <f t="shared" si="26"/>
        <v>0</v>
      </c>
      <c r="Q29" s="589">
        <f t="shared" si="34"/>
        <v>0.2</v>
      </c>
      <c r="R29" s="77">
        <v>20</v>
      </c>
      <c r="S29" s="586" t="s">
        <v>101</v>
      </c>
      <c r="T29" s="590">
        <f t="shared" si="6"/>
        <v>8800</v>
      </c>
      <c r="U29" s="31"/>
      <c r="V29" s="48">
        <f t="shared" si="27"/>
        <v>0</v>
      </c>
      <c r="W29" s="31"/>
      <c r="X29" s="48">
        <f t="shared" si="28"/>
        <v>0</v>
      </c>
      <c r="Y29" s="31"/>
      <c r="Z29" s="48">
        <f t="shared" si="29"/>
        <v>0</v>
      </c>
      <c r="AA29" s="31"/>
      <c r="AB29" s="48">
        <f t="shared" si="30"/>
        <v>0</v>
      </c>
      <c r="AC29" s="31">
        <v>10</v>
      </c>
      <c r="AD29" s="48">
        <f t="shared" si="31"/>
        <v>10</v>
      </c>
      <c r="AE29" s="48">
        <v>0</v>
      </c>
      <c r="AF29" s="48">
        <v>0</v>
      </c>
      <c r="AG29" s="48">
        <v>0</v>
      </c>
      <c r="AH29" s="48">
        <v>0</v>
      </c>
      <c r="AI29" s="48">
        <v>0</v>
      </c>
      <c r="AJ29" s="280">
        <v>0</v>
      </c>
      <c r="AK29" s="283">
        <f t="shared" si="32"/>
        <v>52810</v>
      </c>
      <c r="AL29" s="60">
        <v>0</v>
      </c>
      <c r="AM29" s="60">
        <v>0</v>
      </c>
      <c r="AN29" s="60">
        <f t="shared" si="19"/>
        <v>5017</v>
      </c>
      <c r="AO29" s="36">
        <f t="shared" si="14"/>
        <v>898</v>
      </c>
      <c r="AP29" s="30">
        <v>0</v>
      </c>
      <c r="AQ29" s="36">
        <f t="shared" si="20"/>
        <v>0</v>
      </c>
      <c r="AR29" s="26">
        <f t="shared" si="16"/>
        <v>2315</v>
      </c>
      <c r="AS29" s="26">
        <v>0</v>
      </c>
      <c r="AT29" s="26">
        <v>0</v>
      </c>
      <c r="AU29" s="26">
        <v>0</v>
      </c>
      <c r="AV29" s="67">
        <f t="shared" si="21"/>
        <v>8230</v>
      </c>
      <c r="AW29" s="278">
        <f t="shared" si="33"/>
        <v>44580</v>
      </c>
      <c r="AX29" s="67"/>
      <c r="AY29" s="173"/>
    </row>
    <row r="30" spans="1:51" s="133" customFormat="1" ht="24" customHeight="1" x14ac:dyDescent="0.25">
      <c r="A30" s="149"/>
      <c r="B30" s="150" t="s">
        <v>172</v>
      </c>
      <c r="C30" s="151"/>
      <c r="D30" s="152"/>
      <c r="E30" s="153"/>
      <c r="F30" s="154"/>
      <c r="G30" s="155"/>
      <c r="H30" s="156"/>
      <c r="I30" s="156"/>
      <c r="J30" s="156"/>
      <c r="K30" s="161"/>
      <c r="L30" s="162"/>
      <c r="M30" s="161"/>
      <c r="N30" s="161"/>
      <c r="O30" s="161"/>
      <c r="P30" s="161"/>
      <c r="Q30" s="163"/>
      <c r="R30" s="161"/>
      <c r="S30" s="164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6"/>
      <c r="AK30" s="286">
        <f t="shared" ref="AK30:AY30" si="35">SUM(AK10:AK19)</f>
        <v>759800</v>
      </c>
      <c r="AL30" s="165"/>
      <c r="AM30" s="165"/>
      <c r="AN30" s="165"/>
      <c r="AO30" s="161"/>
      <c r="AP30" s="163"/>
      <c r="AQ30" s="161"/>
      <c r="AR30" s="161"/>
      <c r="AS30" s="161"/>
      <c r="AT30" s="161"/>
      <c r="AU30" s="161"/>
      <c r="AV30" s="166"/>
      <c r="AW30" s="293">
        <f t="shared" si="35"/>
        <v>614929</v>
      </c>
      <c r="AX30" s="166">
        <f t="shared" si="35"/>
        <v>0</v>
      </c>
      <c r="AY30" s="174">
        <f t="shared" si="35"/>
        <v>0</v>
      </c>
    </row>
  </sheetData>
  <mergeCells count="3">
    <mergeCell ref="A3:B4"/>
    <mergeCell ref="A1:B1"/>
    <mergeCell ref="A2:B2"/>
  </mergeCells>
  <phoneticPr fontId="71" type="noConversion"/>
  <dataValidations count="3">
    <dataValidation type="whole" allowBlank="1" showInputMessage="1" showErrorMessage="1" errorTitle="Dite me Raport Mjeksor" error="Maksimumi 14!" sqref="H10:H30" xr:uid="{00000000-0002-0000-0200-000000000000}">
      <formula1>0</formula1>
      <formula2>14</formula2>
    </dataValidation>
    <dataValidation type="list" allowBlank="1" showInputMessage="1" showErrorMessage="1" promptTitle="BANKA" prompt="Zgjidh emrin e Bankes nga lista !" sqref="D10:D30" xr:uid="{00000000-0002-0000-0200-000001000000}">
      <formula1>lista_e_bankave</formula1>
    </dataValidation>
    <dataValidation type="whole" allowBlank="1" showInputMessage="1" showErrorMessage="1" errorTitle="Dite Pune" error="Maksimumi 22!" sqref="G10:G30" xr:uid="{00000000-0002-0000-0200-000002000000}">
      <formula1>0</formula1>
      <formula2>22</formula2>
    </dataValidation>
  </dataValidations>
  <pageMargins left="0.39370078740157483" right="0.39370078740157483" top="1.5748031496062993" bottom="0.78740157480314965" header="0.31496062992125984" footer="0.31496062992125984"/>
  <pageSetup paperSize="8" fitToHeight="0" orientation="landscape" r:id="rId1"/>
  <colBreaks count="1" manualBreakCount="1">
    <brk id="2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AS139"/>
  <sheetViews>
    <sheetView showGridLines="0" topLeftCell="A7" zoomScale="70" zoomScaleNormal="70" zoomScaleSheetLayoutView="115" workbookViewId="0">
      <selection activeCell="G42" sqref="G42"/>
    </sheetView>
  </sheetViews>
  <sheetFormatPr defaultColWidth="9.140625" defaultRowHeight="15.75" x14ac:dyDescent="0.25"/>
  <cols>
    <col min="1" max="1" width="8.7109375" style="1" customWidth="1"/>
    <col min="2" max="2" width="24.7109375" style="1" customWidth="1"/>
    <col min="3" max="3" width="135.7109375" style="1" bestFit="1" customWidth="1"/>
    <col min="4" max="34" width="16.7109375" style="1" customWidth="1"/>
    <col min="35" max="36" width="9.140625" style="1"/>
    <col min="46" max="16384" width="9.140625" style="1"/>
  </cols>
  <sheetData>
    <row r="1" spans="1:34" ht="32.1" customHeight="1" x14ac:dyDescent="0.35">
      <c r="A1" s="109"/>
      <c r="B1" s="126" t="s">
        <v>144</v>
      </c>
      <c r="C1" s="117"/>
      <c r="D1" s="117"/>
      <c r="E1" s="117"/>
      <c r="F1" s="103"/>
    </row>
    <row r="2" spans="1:34" ht="24" customHeight="1" thickBot="1" x14ac:dyDescent="0.35">
      <c r="A2" s="109"/>
      <c r="B2" s="118" t="s">
        <v>145</v>
      </c>
      <c r="C2" s="127" t="s">
        <v>146</v>
      </c>
      <c r="D2" s="119"/>
      <c r="E2" s="120"/>
    </row>
    <row r="3" spans="1:34" ht="24" customHeight="1" thickTop="1" x14ac:dyDescent="0.35">
      <c r="A3" s="109"/>
      <c r="B3" s="116" t="s">
        <v>147</v>
      </c>
      <c r="C3" s="127" t="s">
        <v>148</v>
      </c>
      <c r="D3" s="18"/>
      <c r="E3" s="18"/>
      <c r="F3" s="122"/>
      <c r="G3" s="121"/>
      <c r="H3" s="108"/>
      <c r="I3" s="107"/>
      <c r="J3" s="107"/>
      <c r="K3" s="107"/>
      <c r="L3" s="107"/>
      <c r="M3" s="107"/>
      <c r="N3" s="107"/>
      <c r="O3" s="108"/>
      <c r="P3" s="108"/>
      <c r="Q3" s="108"/>
      <c r="R3" s="108"/>
      <c r="S3" s="108"/>
      <c r="T3" s="108"/>
      <c r="U3" s="18"/>
      <c r="V3" s="18"/>
      <c r="W3" s="18"/>
      <c r="X3" s="18"/>
      <c r="Y3" s="18"/>
      <c r="Z3" s="18"/>
      <c r="AA3" s="18"/>
      <c r="AB3" s="108"/>
      <c r="AC3" s="108"/>
      <c r="AD3" s="108"/>
      <c r="AE3" s="18"/>
      <c r="AF3" s="18"/>
      <c r="AG3" s="18"/>
      <c r="AH3" s="18"/>
    </row>
    <row r="4" spans="1:34" ht="24" customHeight="1" x14ac:dyDescent="0.3">
      <c r="A4" s="109"/>
      <c r="B4" s="116" t="s">
        <v>149</v>
      </c>
      <c r="C4" s="128">
        <v>123456789</v>
      </c>
      <c r="D4" s="116"/>
      <c r="E4" s="116" t="s">
        <v>150</v>
      </c>
      <c r="F4" s="266">
        <v>44962</v>
      </c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10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</row>
    <row r="5" spans="1:34" ht="24" customHeight="1" thickBot="1" x14ac:dyDescent="0.4">
      <c r="B5" s="4"/>
      <c r="G5" s="123"/>
      <c r="H5" s="27"/>
      <c r="I5" s="27"/>
      <c r="J5" s="27"/>
      <c r="K5" s="27"/>
      <c r="Y5" s="3"/>
      <c r="Z5" s="3"/>
      <c r="AA5" s="3"/>
      <c r="AE5" s="3"/>
      <c r="AF5" s="3"/>
      <c r="AG5" s="3"/>
      <c r="AH5" s="3"/>
    </row>
    <row r="6" spans="1:34" ht="26.1" customHeight="1" thickTop="1" x14ac:dyDescent="0.35">
      <c r="A6" s="4"/>
      <c r="B6" s="4"/>
      <c r="C6" s="5"/>
      <c r="D6" s="5"/>
      <c r="F6" s="5"/>
      <c r="G6" s="5"/>
      <c r="H6" s="2"/>
      <c r="I6" s="4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64" t="s">
        <v>11</v>
      </c>
      <c r="V6" s="25"/>
      <c r="W6" s="25"/>
      <c r="X6" s="25"/>
      <c r="Y6" s="3"/>
      <c r="Z6" s="3"/>
      <c r="AA6" s="3"/>
      <c r="AB6" s="5"/>
      <c r="AC6" s="5"/>
      <c r="AD6" s="5"/>
      <c r="AE6" s="6"/>
      <c r="AF6" s="105" t="s">
        <v>10</v>
      </c>
      <c r="AG6" s="6"/>
      <c r="AH6" s="3"/>
    </row>
    <row r="7" spans="1:34" ht="127.5" customHeight="1" thickBot="1" x14ac:dyDescent="0.3">
      <c r="A7" s="13" t="s">
        <v>164</v>
      </c>
      <c r="B7" s="13" t="s">
        <v>0</v>
      </c>
      <c r="C7" s="13" t="s">
        <v>1</v>
      </c>
      <c r="D7" s="13" t="s">
        <v>165</v>
      </c>
      <c r="E7" s="13" t="s">
        <v>2</v>
      </c>
      <c r="F7" s="13" t="s">
        <v>3</v>
      </c>
      <c r="G7" s="13" t="s">
        <v>62</v>
      </c>
      <c r="H7" s="13" t="s">
        <v>17</v>
      </c>
      <c r="I7" s="13" t="s">
        <v>166</v>
      </c>
      <c r="J7" s="13" t="s">
        <v>4</v>
      </c>
      <c r="K7" s="13" t="s">
        <v>63</v>
      </c>
      <c r="L7" s="13" t="s">
        <v>64</v>
      </c>
      <c r="M7" s="13" t="s">
        <v>65</v>
      </c>
      <c r="N7" s="13" t="s">
        <v>66</v>
      </c>
      <c r="O7" s="13" t="s">
        <v>7</v>
      </c>
      <c r="P7" s="13" t="s">
        <v>57</v>
      </c>
      <c r="Q7" s="13" t="s">
        <v>58</v>
      </c>
      <c r="R7" s="13" t="s">
        <v>167</v>
      </c>
      <c r="S7" s="13" t="s">
        <v>18</v>
      </c>
      <c r="T7" s="14" t="s">
        <v>12</v>
      </c>
      <c r="U7" s="69" t="s">
        <v>8</v>
      </c>
      <c r="V7" s="15" t="s">
        <v>151</v>
      </c>
      <c r="W7" s="15" t="s">
        <v>152</v>
      </c>
      <c r="X7" s="15" t="s">
        <v>67</v>
      </c>
      <c r="Y7" s="16" t="s">
        <v>68</v>
      </c>
      <c r="Z7" s="16" t="s">
        <v>15</v>
      </c>
      <c r="AA7" s="16" t="s">
        <v>14</v>
      </c>
      <c r="AB7" s="13" t="s">
        <v>16</v>
      </c>
      <c r="AC7" s="13" t="s">
        <v>168</v>
      </c>
      <c r="AD7" s="13" t="s">
        <v>19</v>
      </c>
      <c r="AE7" s="17" t="s">
        <v>61</v>
      </c>
      <c r="AF7" s="106" t="s">
        <v>9</v>
      </c>
      <c r="AG7" s="17" t="s">
        <v>162</v>
      </c>
      <c r="AH7" s="16" t="s">
        <v>163</v>
      </c>
    </row>
    <row r="8" spans="1:34" s="11" customFormat="1" ht="14.1" customHeight="1" thickBot="1" x14ac:dyDescent="0.3">
      <c r="A8" s="7" t="s">
        <v>22</v>
      </c>
      <c r="B8" s="7" t="s">
        <v>23</v>
      </c>
      <c r="C8" s="7" t="s">
        <v>24</v>
      </c>
      <c r="D8" s="7" t="s">
        <v>25</v>
      </c>
      <c r="E8" s="7" t="s">
        <v>26</v>
      </c>
      <c r="F8" s="7" t="s">
        <v>27</v>
      </c>
      <c r="G8" s="7" t="s">
        <v>28</v>
      </c>
      <c r="H8" s="7" t="s">
        <v>29</v>
      </c>
      <c r="I8" s="7" t="s">
        <v>30</v>
      </c>
      <c r="J8" s="7" t="s">
        <v>31</v>
      </c>
      <c r="K8" s="7" t="s">
        <v>32</v>
      </c>
      <c r="L8" s="7" t="s">
        <v>33</v>
      </c>
      <c r="M8" s="7" t="s">
        <v>34</v>
      </c>
      <c r="N8" s="7" t="s">
        <v>35</v>
      </c>
      <c r="O8" s="7" t="s">
        <v>36</v>
      </c>
      <c r="P8" s="7" t="s">
        <v>37</v>
      </c>
      <c r="Q8" s="7" t="s">
        <v>38</v>
      </c>
      <c r="R8" s="7" t="s">
        <v>39</v>
      </c>
      <c r="S8" s="7" t="s">
        <v>40</v>
      </c>
      <c r="T8" s="8" t="s">
        <v>41</v>
      </c>
      <c r="U8" s="9" t="s">
        <v>42</v>
      </c>
      <c r="V8" s="10" t="s">
        <v>43</v>
      </c>
      <c r="W8" s="10" t="s">
        <v>44</v>
      </c>
      <c r="X8" s="10" t="s">
        <v>45</v>
      </c>
      <c r="Y8" s="7" t="s">
        <v>46</v>
      </c>
      <c r="Z8" s="7" t="s">
        <v>47</v>
      </c>
      <c r="AA8" s="7" t="s">
        <v>48</v>
      </c>
      <c r="AB8" s="7" t="s">
        <v>49</v>
      </c>
      <c r="AC8" s="7" t="s">
        <v>50</v>
      </c>
      <c r="AD8" s="7" t="s">
        <v>51</v>
      </c>
      <c r="AE8" s="8" t="s">
        <v>153</v>
      </c>
      <c r="AF8" s="104" t="s">
        <v>154</v>
      </c>
      <c r="AG8" s="8" t="s">
        <v>155</v>
      </c>
      <c r="AH8" s="7" t="s">
        <v>156</v>
      </c>
    </row>
    <row r="9" spans="1:34" s="11" customFormat="1" ht="20.100000000000001" customHeight="1" x14ac:dyDescent="0.25">
      <c r="A9" s="102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</row>
    <row r="10" spans="1:34" s="92" customFormat="1" ht="20.100000000000001" customHeight="1" x14ac:dyDescent="0.25">
      <c r="A10" s="94">
        <v>1</v>
      </c>
      <c r="B10" s="132" t="s">
        <v>176</v>
      </c>
      <c r="C10" s="94" t="str">
        <f t="shared" ref="C10:C41" si="0">VLOOKUP($B10,llog_organike,4,FALSE)</f>
        <v>Presidenti</v>
      </c>
      <c r="D10" s="95">
        <f t="shared" ref="D10:D41" si="1">VLOOKUP($B10,llog_organike,5,FALSE)</f>
        <v>1</v>
      </c>
      <c r="E10" s="94">
        <f t="shared" ref="E10:E41" si="2">VLOOKUP($B10,llog_organike,6,FALSE)</f>
        <v>22</v>
      </c>
      <c r="F10" s="96">
        <f t="shared" ref="F10:F41" si="3">VLOOKUP($B10,llog_organike,10,FALSE)</f>
        <v>0</v>
      </c>
      <c r="G10" s="96">
        <f t="shared" ref="G10:G41" si="4">VLOOKUP($B10,llog_organike,13,FALSE)</f>
        <v>425000</v>
      </c>
      <c r="H10" s="96">
        <f t="shared" ref="H10:H41" si="5">VLOOKUP($B10,llog_organike,15,FALSE)</f>
        <v>0</v>
      </c>
      <c r="I10" s="96">
        <f t="shared" ref="I10:I41" si="6">VLOOKUP($B10,llog_organike,19,FALSE)</f>
        <v>0</v>
      </c>
      <c r="J10" s="96">
        <f t="shared" ref="J10:J41" si="7">VLOOKUP($B10,llog_organike,21,FALSE)</f>
        <v>0</v>
      </c>
      <c r="K10" s="96">
        <f t="shared" ref="K10:K41" si="8">VLOOKUP($B10,llog_organike,23,FALSE)</f>
        <v>0</v>
      </c>
      <c r="L10" s="96">
        <f t="shared" ref="L10:L41" si="9">VLOOKUP($B10,llog_organike,25,FALSE)</f>
        <v>0</v>
      </c>
      <c r="M10" s="96">
        <f t="shared" ref="M10:M41" si="10">VLOOKUP($B10,llog_organike,27,FALSE)</f>
        <v>0</v>
      </c>
      <c r="N10" s="96">
        <f t="shared" ref="N10:N41" si="11">VLOOKUP($B10,llog_organike,29,FALSE)</f>
        <v>0</v>
      </c>
      <c r="O10" s="96">
        <f t="shared" ref="O10:O41" si="12">VLOOKUP($B10,llog_organike,30,FALSE)</f>
        <v>0</v>
      </c>
      <c r="P10" s="96">
        <f t="shared" ref="P10:P41" si="13">VLOOKUP($B10,llog_organike,31,FALSE)</f>
        <v>0</v>
      </c>
      <c r="Q10" s="96">
        <f t="shared" ref="Q10:Q41" si="14">VLOOKUP($B10,llog_organike,32,FALSE)</f>
        <v>0</v>
      </c>
      <c r="R10" s="96">
        <f t="shared" ref="R10:R41" si="15">VLOOKUP($B10,llog_organike,33,FALSE)</f>
        <v>0</v>
      </c>
      <c r="S10" s="96">
        <f t="shared" ref="S10:S41" si="16">VLOOKUP($B10,llog_organike,34,FALSE)</f>
        <v>0</v>
      </c>
      <c r="T10" s="97">
        <f t="shared" ref="T10:T41" si="17">VLOOKUP($B10,llog_organike,35,FALSE)</f>
        <v>0</v>
      </c>
      <c r="U10" s="98">
        <f t="shared" ref="U10:U41" si="18">VLOOKUP($B10,llog_organike,36,FALSE)</f>
        <v>425000</v>
      </c>
      <c r="V10" s="99">
        <f t="shared" ref="V10:V41" si="19">VLOOKUP($B10,llog_organike,37,FALSE)</f>
        <v>0</v>
      </c>
      <c r="W10" s="99">
        <f t="shared" ref="W10:W41" si="20">VLOOKUP($B10,llog_organike,38,FALSE)</f>
        <v>0</v>
      </c>
      <c r="X10" s="99">
        <f t="shared" ref="X10:X41" si="21">VLOOKUP($B10,llog_organike,39,FALSE)</f>
        <v>16760</v>
      </c>
      <c r="Y10" s="96">
        <f t="shared" ref="Y10:Y41" si="22">VLOOKUP($B10,llog_organike,40,FALSE)</f>
        <v>7225</v>
      </c>
      <c r="Z10" s="96">
        <f t="shared" ref="Z10:Z41" si="23">VLOOKUP($B10,llog_organike,42,FALSE)</f>
        <v>17000</v>
      </c>
      <c r="AA10" s="96">
        <f t="shared" ref="AA10:AA41" si="24">VLOOKUP($B10,llog_organike,43,FALSE)</f>
        <v>73200</v>
      </c>
      <c r="AB10" s="96">
        <f t="shared" ref="AB10:AB41" si="25">VLOOKUP($B10,llog_organike,44,FALSE)</f>
        <v>0</v>
      </c>
      <c r="AC10" s="96">
        <f t="shared" ref="AC10:AC41" si="26">VLOOKUP($B10,llog_organike,45,FALSE)</f>
        <v>0</v>
      </c>
      <c r="AD10" s="96">
        <f t="shared" ref="AD10:AD41" si="27">VLOOKUP($B10,llog_organike,46,FALSE)</f>
        <v>0</v>
      </c>
      <c r="AE10" s="100">
        <f t="shared" ref="AE10:AE41" si="28">VLOOKUP($B10,llog_organike,47,FALSE)</f>
        <v>114185</v>
      </c>
      <c r="AF10" s="101">
        <f t="shared" ref="AF10:AF41" si="29">VLOOKUP($B10,llog_organike,48,FALSE)</f>
        <v>310815</v>
      </c>
      <c r="AG10" s="100">
        <f t="shared" ref="AG10:AG41" si="30">VLOOKUP($B10,llog_organike,49,FALSE)</f>
        <v>0</v>
      </c>
      <c r="AH10" s="96">
        <f t="shared" ref="AH10:AH41" si="31">VLOOKUP($B10,llog_organike,50,FALSE)</f>
        <v>0</v>
      </c>
    </row>
    <row r="11" spans="1:34" s="92" customFormat="1" ht="20.100000000000001" customHeight="1" x14ac:dyDescent="0.25">
      <c r="A11" s="94">
        <v>2</v>
      </c>
      <c r="B11" s="167" t="s">
        <v>177</v>
      </c>
      <c r="C11" s="94" t="str">
        <f t="shared" si="0"/>
        <v>Kryetari Kuvendit</v>
      </c>
      <c r="D11" s="95" t="str">
        <f t="shared" si="1"/>
        <v>A</v>
      </c>
      <c r="E11" s="94">
        <f t="shared" si="2"/>
        <v>22</v>
      </c>
      <c r="F11" s="96">
        <f t="shared" si="3"/>
        <v>0</v>
      </c>
      <c r="G11" s="96">
        <f t="shared" si="4"/>
        <v>393125</v>
      </c>
      <c r="H11" s="96">
        <f t="shared" si="5"/>
        <v>0</v>
      </c>
      <c r="I11" s="96">
        <f t="shared" si="6"/>
        <v>0</v>
      </c>
      <c r="J11" s="96">
        <f t="shared" si="7"/>
        <v>0</v>
      </c>
      <c r="K11" s="96">
        <f t="shared" si="8"/>
        <v>0</v>
      </c>
      <c r="L11" s="96">
        <f t="shared" si="9"/>
        <v>0</v>
      </c>
      <c r="M11" s="96">
        <f t="shared" si="10"/>
        <v>0</v>
      </c>
      <c r="N11" s="96">
        <f t="shared" si="11"/>
        <v>0</v>
      </c>
      <c r="O11" s="96">
        <f t="shared" si="12"/>
        <v>0</v>
      </c>
      <c r="P11" s="96">
        <f t="shared" si="13"/>
        <v>0</v>
      </c>
      <c r="Q11" s="96">
        <f t="shared" si="14"/>
        <v>0</v>
      </c>
      <c r="R11" s="96">
        <f t="shared" si="15"/>
        <v>0</v>
      </c>
      <c r="S11" s="96">
        <f t="shared" si="16"/>
        <v>0</v>
      </c>
      <c r="T11" s="97">
        <f t="shared" si="17"/>
        <v>0</v>
      </c>
      <c r="U11" s="98">
        <f t="shared" si="18"/>
        <v>393125</v>
      </c>
      <c r="V11" s="99">
        <f t="shared" si="19"/>
        <v>0</v>
      </c>
      <c r="W11" s="99">
        <f t="shared" si="20"/>
        <v>0</v>
      </c>
      <c r="X11" s="99">
        <f t="shared" si="21"/>
        <v>16760</v>
      </c>
      <c r="Y11" s="96">
        <f t="shared" si="22"/>
        <v>6683</v>
      </c>
      <c r="Z11" s="96">
        <f t="shared" si="23"/>
        <v>15725</v>
      </c>
      <c r="AA11" s="96">
        <f t="shared" si="24"/>
        <v>65869</v>
      </c>
      <c r="AB11" s="96">
        <f t="shared" si="25"/>
        <v>0</v>
      </c>
      <c r="AC11" s="96">
        <f t="shared" si="26"/>
        <v>0</v>
      </c>
      <c r="AD11" s="96">
        <f t="shared" si="27"/>
        <v>0</v>
      </c>
      <c r="AE11" s="100">
        <f t="shared" si="28"/>
        <v>105037</v>
      </c>
      <c r="AF11" s="101">
        <f t="shared" si="29"/>
        <v>288088</v>
      </c>
      <c r="AG11" s="100">
        <f t="shared" si="30"/>
        <v>0</v>
      </c>
      <c r="AH11" s="96">
        <f t="shared" si="31"/>
        <v>0</v>
      </c>
    </row>
    <row r="12" spans="1:34" s="92" customFormat="1" ht="20.100000000000001" customHeight="1" x14ac:dyDescent="0.25">
      <c r="A12" s="94">
        <v>3</v>
      </c>
      <c r="B12" s="132" t="s">
        <v>178</v>
      </c>
      <c r="C12" s="94" t="str">
        <f t="shared" si="0"/>
        <v>Kryeministri</v>
      </c>
      <c r="D12" s="95" t="str">
        <f t="shared" si="1"/>
        <v>A</v>
      </c>
      <c r="E12" s="94">
        <f t="shared" si="2"/>
        <v>22</v>
      </c>
      <c r="F12" s="96">
        <f t="shared" si="3"/>
        <v>0</v>
      </c>
      <c r="G12" s="96">
        <f t="shared" si="4"/>
        <v>393125</v>
      </c>
      <c r="H12" s="96">
        <f t="shared" si="5"/>
        <v>0</v>
      </c>
      <c r="I12" s="96">
        <f t="shared" si="6"/>
        <v>0</v>
      </c>
      <c r="J12" s="96">
        <f t="shared" si="7"/>
        <v>0</v>
      </c>
      <c r="K12" s="96">
        <f t="shared" si="8"/>
        <v>0</v>
      </c>
      <c r="L12" s="96">
        <f t="shared" si="9"/>
        <v>0</v>
      </c>
      <c r="M12" s="96">
        <f t="shared" si="10"/>
        <v>0</v>
      </c>
      <c r="N12" s="96">
        <f t="shared" si="11"/>
        <v>0</v>
      </c>
      <c r="O12" s="96">
        <f t="shared" si="12"/>
        <v>0</v>
      </c>
      <c r="P12" s="96">
        <f t="shared" si="13"/>
        <v>0</v>
      </c>
      <c r="Q12" s="96">
        <f t="shared" si="14"/>
        <v>0</v>
      </c>
      <c r="R12" s="96">
        <f t="shared" si="15"/>
        <v>0</v>
      </c>
      <c r="S12" s="96">
        <f t="shared" si="16"/>
        <v>0</v>
      </c>
      <c r="T12" s="97">
        <f t="shared" si="17"/>
        <v>0</v>
      </c>
      <c r="U12" s="98">
        <f t="shared" si="18"/>
        <v>393125</v>
      </c>
      <c r="V12" s="99">
        <f t="shared" si="19"/>
        <v>0</v>
      </c>
      <c r="W12" s="99">
        <f t="shared" si="20"/>
        <v>0</v>
      </c>
      <c r="X12" s="99">
        <f t="shared" si="21"/>
        <v>16760</v>
      </c>
      <c r="Y12" s="96">
        <f t="shared" si="22"/>
        <v>6683</v>
      </c>
      <c r="Z12" s="96">
        <f t="shared" si="23"/>
        <v>15725</v>
      </c>
      <c r="AA12" s="96">
        <f t="shared" si="24"/>
        <v>65869</v>
      </c>
      <c r="AB12" s="96">
        <f t="shared" si="25"/>
        <v>0</v>
      </c>
      <c r="AC12" s="96">
        <f t="shared" si="26"/>
        <v>0</v>
      </c>
      <c r="AD12" s="96">
        <f t="shared" si="27"/>
        <v>0</v>
      </c>
      <c r="AE12" s="100">
        <f t="shared" si="28"/>
        <v>105037</v>
      </c>
      <c r="AF12" s="101">
        <f t="shared" si="29"/>
        <v>288088</v>
      </c>
      <c r="AG12" s="100">
        <f t="shared" si="30"/>
        <v>0</v>
      </c>
      <c r="AH12" s="96">
        <f t="shared" si="31"/>
        <v>0</v>
      </c>
    </row>
    <row r="13" spans="1:34" s="92" customFormat="1" ht="20.100000000000001" customHeight="1" x14ac:dyDescent="0.25">
      <c r="A13" s="94">
        <v>4</v>
      </c>
      <c r="B13" s="132" t="s">
        <v>179</v>
      </c>
      <c r="C13" s="94" t="str">
        <f t="shared" si="0"/>
        <v>Zëvendëskryetari i Kuvendit</v>
      </c>
      <c r="D13" s="95" t="str">
        <f t="shared" si="1"/>
        <v>B</v>
      </c>
      <c r="E13" s="94">
        <f t="shared" si="2"/>
        <v>22</v>
      </c>
      <c r="F13" s="96">
        <f t="shared" si="3"/>
        <v>0</v>
      </c>
      <c r="G13" s="96">
        <f t="shared" si="4"/>
        <v>329375</v>
      </c>
      <c r="H13" s="96">
        <f t="shared" si="5"/>
        <v>0</v>
      </c>
      <c r="I13" s="96">
        <f t="shared" si="6"/>
        <v>0</v>
      </c>
      <c r="J13" s="96">
        <f t="shared" si="7"/>
        <v>0</v>
      </c>
      <c r="K13" s="96">
        <f t="shared" si="8"/>
        <v>0</v>
      </c>
      <c r="L13" s="96">
        <f t="shared" si="9"/>
        <v>0</v>
      </c>
      <c r="M13" s="96">
        <f t="shared" si="10"/>
        <v>0</v>
      </c>
      <c r="N13" s="96">
        <f t="shared" si="11"/>
        <v>0</v>
      </c>
      <c r="O13" s="96">
        <f t="shared" si="12"/>
        <v>0</v>
      </c>
      <c r="P13" s="96">
        <f t="shared" si="13"/>
        <v>0</v>
      </c>
      <c r="Q13" s="96">
        <f t="shared" si="14"/>
        <v>0</v>
      </c>
      <c r="R13" s="96">
        <f t="shared" si="15"/>
        <v>0</v>
      </c>
      <c r="S13" s="96">
        <f t="shared" si="16"/>
        <v>0</v>
      </c>
      <c r="T13" s="97">
        <f t="shared" si="17"/>
        <v>0</v>
      </c>
      <c r="U13" s="98">
        <f t="shared" si="18"/>
        <v>329375</v>
      </c>
      <c r="V13" s="99">
        <f t="shared" si="19"/>
        <v>0</v>
      </c>
      <c r="W13" s="99">
        <f t="shared" si="20"/>
        <v>0</v>
      </c>
      <c r="X13" s="99">
        <f t="shared" si="21"/>
        <v>16760</v>
      </c>
      <c r="Y13" s="96">
        <f t="shared" si="22"/>
        <v>5599</v>
      </c>
      <c r="Z13" s="96">
        <f t="shared" si="23"/>
        <v>13175</v>
      </c>
      <c r="AA13" s="96">
        <f t="shared" si="24"/>
        <v>51206</v>
      </c>
      <c r="AB13" s="96">
        <f t="shared" si="25"/>
        <v>0</v>
      </c>
      <c r="AC13" s="96">
        <f t="shared" si="26"/>
        <v>0</v>
      </c>
      <c r="AD13" s="96">
        <f t="shared" si="27"/>
        <v>0</v>
      </c>
      <c r="AE13" s="100">
        <f t="shared" si="28"/>
        <v>86740</v>
      </c>
      <c r="AF13" s="101">
        <f t="shared" si="29"/>
        <v>242635</v>
      </c>
      <c r="AG13" s="100">
        <f t="shared" si="30"/>
        <v>0</v>
      </c>
      <c r="AH13" s="96">
        <f t="shared" si="31"/>
        <v>0</v>
      </c>
    </row>
    <row r="14" spans="1:34" s="92" customFormat="1" ht="20.100000000000001" customHeight="1" x14ac:dyDescent="0.25">
      <c r="A14" s="94">
        <v>5</v>
      </c>
      <c r="B14" s="132" t="s">
        <v>180</v>
      </c>
      <c r="C14" s="94" t="str">
        <f t="shared" si="0"/>
        <v>Zëvendëskryeministri</v>
      </c>
      <c r="D14" s="95" t="str">
        <f t="shared" si="1"/>
        <v>B</v>
      </c>
      <c r="E14" s="94">
        <f t="shared" si="2"/>
        <v>22</v>
      </c>
      <c r="F14" s="96">
        <f t="shared" si="3"/>
        <v>0</v>
      </c>
      <c r="G14" s="96">
        <f t="shared" si="4"/>
        <v>329375</v>
      </c>
      <c r="H14" s="96">
        <f t="shared" si="5"/>
        <v>0</v>
      </c>
      <c r="I14" s="96">
        <f t="shared" si="6"/>
        <v>0</v>
      </c>
      <c r="J14" s="96">
        <f t="shared" si="7"/>
        <v>0</v>
      </c>
      <c r="K14" s="96">
        <f t="shared" si="8"/>
        <v>0</v>
      </c>
      <c r="L14" s="96">
        <f t="shared" si="9"/>
        <v>0</v>
      </c>
      <c r="M14" s="96">
        <f t="shared" si="10"/>
        <v>0</v>
      </c>
      <c r="N14" s="96">
        <f t="shared" si="11"/>
        <v>0</v>
      </c>
      <c r="O14" s="96">
        <f t="shared" si="12"/>
        <v>0</v>
      </c>
      <c r="P14" s="96">
        <f t="shared" si="13"/>
        <v>0</v>
      </c>
      <c r="Q14" s="96">
        <f t="shared" si="14"/>
        <v>0</v>
      </c>
      <c r="R14" s="96">
        <f t="shared" si="15"/>
        <v>0</v>
      </c>
      <c r="S14" s="96">
        <f t="shared" si="16"/>
        <v>0</v>
      </c>
      <c r="T14" s="97">
        <f t="shared" si="17"/>
        <v>0</v>
      </c>
      <c r="U14" s="98">
        <f t="shared" si="18"/>
        <v>329375</v>
      </c>
      <c r="V14" s="99">
        <f t="shared" si="19"/>
        <v>0</v>
      </c>
      <c r="W14" s="99">
        <f t="shared" si="20"/>
        <v>0</v>
      </c>
      <c r="X14" s="99">
        <f t="shared" si="21"/>
        <v>16760</v>
      </c>
      <c r="Y14" s="96">
        <f t="shared" si="22"/>
        <v>5599</v>
      </c>
      <c r="Z14" s="96">
        <f t="shared" si="23"/>
        <v>13175</v>
      </c>
      <c r="AA14" s="96">
        <f t="shared" si="24"/>
        <v>51206</v>
      </c>
      <c r="AB14" s="96">
        <f t="shared" si="25"/>
        <v>0</v>
      </c>
      <c r="AC14" s="96">
        <f t="shared" si="26"/>
        <v>0</v>
      </c>
      <c r="AD14" s="96">
        <f t="shared" si="27"/>
        <v>0</v>
      </c>
      <c r="AE14" s="100">
        <f t="shared" si="28"/>
        <v>86740</v>
      </c>
      <c r="AF14" s="101">
        <f t="shared" si="29"/>
        <v>242635</v>
      </c>
      <c r="AG14" s="100">
        <f t="shared" si="30"/>
        <v>0</v>
      </c>
      <c r="AH14" s="96">
        <f t="shared" si="31"/>
        <v>0</v>
      </c>
    </row>
    <row r="15" spans="1:34" s="92" customFormat="1" ht="20.100000000000001" customHeight="1" x14ac:dyDescent="0.25">
      <c r="A15" s="94">
        <v>6</v>
      </c>
      <c r="B15" s="132" t="s">
        <v>181</v>
      </c>
      <c r="C15" s="94" t="str">
        <f t="shared" si="0"/>
        <v>Minister</v>
      </c>
      <c r="D15" s="95" t="str">
        <f t="shared" si="1"/>
        <v>C</v>
      </c>
      <c r="E15" s="94">
        <f t="shared" si="2"/>
        <v>22</v>
      </c>
      <c r="F15" s="96">
        <f t="shared" si="3"/>
        <v>0</v>
      </c>
      <c r="G15" s="96">
        <f t="shared" si="4"/>
        <v>318750</v>
      </c>
      <c r="H15" s="96">
        <f t="shared" si="5"/>
        <v>0</v>
      </c>
      <c r="I15" s="96">
        <f t="shared" si="6"/>
        <v>0</v>
      </c>
      <c r="J15" s="96">
        <f t="shared" si="7"/>
        <v>0</v>
      </c>
      <c r="K15" s="96">
        <f t="shared" si="8"/>
        <v>0</v>
      </c>
      <c r="L15" s="96">
        <f t="shared" si="9"/>
        <v>0</v>
      </c>
      <c r="M15" s="96">
        <f t="shared" si="10"/>
        <v>0</v>
      </c>
      <c r="N15" s="96">
        <f t="shared" si="11"/>
        <v>0</v>
      </c>
      <c r="O15" s="96">
        <f t="shared" si="12"/>
        <v>0</v>
      </c>
      <c r="P15" s="96">
        <f t="shared" si="13"/>
        <v>0</v>
      </c>
      <c r="Q15" s="96">
        <f t="shared" si="14"/>
        <v>0</v>
      </c>
      <c r="R15" s="96">
        <f t="shared" si="15"/>
        <v>0</v>
      </c>
      <c r="S15" s="96">
        <f t="shared" si="16"/>
        <v>0</v>
      </c>
      <c r="T15" s="97">
        <f t="shared" si="17"/>
        <v>0</v>
      </c>
      <c r="U15" s="98">
        <f t="shared" si="18"/>
        <v>318750</v>
      </c>
      <c r="V15" s="99">
        <f t="shared" si="19"/>
        <v>0</v>
      </c>
      <c r="W15" s="99">
        <f t="shared" si="20"/>
        <v>0</v>
      </c>
      <c r="X15" s="99">
        <f t="shared" si="21"/>
        <v>16760</v>
      </c>
      <c r="Y15" s="96">
        <f t="shared" si="22"/>
        <v>5419</v>
      </c>
      <c r="Z15" s="96">
        <f t="shared" si="23"/>
        <v>12750</v>
      </c>
      <c r="AA15" s="96">
        <f t="shared" si="24"/>
        <v>48763</v>
      </c>
      <c r="AB15" s="96">
        <f t="shared" si="25"/>
        <v>0</v>
      </c>
      <c r="AC15" s="96">
        <f t="shared" si="26"/>
        <v>0</v>
      </c>
      <c r="AD15" s="96">
        <f t="shared" si="27"/>
        <v>0</v>
      </c>
      <c r="AE15" s="100">
        <f t="shared" si="28"/>
        <v>83692</v>
      </c>
      <c r="AF15" s="101">
        <f t="shared" si="29"/>
        <v>235058</v>
      </c>
      <c r="AG15" s="100">
        <f t="shared" si="30"/>
        <v>0</v>
      </c>
      <c r="AH15" s="96">
        <f t="shared" si="31"/>
        <v>0</v>
      </c>
    </row>
    <row r="16" spans="1:34" s="92" customFormat="1" ht="20.100000000000001" customHeight="1" x14ac:dyDescent="0.25">
      <c r="A16" s="94">
        <v>7</v>
      </c>
      <c r="B16" s="132" t="s">
        <v>182</v>
      </c>
      <c r="C16" s="94" t="str">
        <f t="shared" si="0"/>
        <v>Deputet</v>
      </c>
      <c r="D16" s="95" t="str">
        <f t="shared" si="1"/>
        <v>D</v>
      </c>
      <c r="E16" s="94">
        <f t="shared" si="2"/>
        <v>22</v>
      </c>
      <c r="F16" s="96">
        <f t="shared" si="3"/>
        <v>0</v>
      </c>
      <c r="G16" s="96">
        <f t="shared" si="4"/>
        <v>310250</v>
      </c>
      <c r="H16" s="96">
        <f t="shared" si="5"/>
        <v>0</v>
      </c>
      <c r="I16" s="96">
        <f t="shared" si="6"/>
        <v>0</v>
      </c>
      <c r="J16" s="96">
        <f t="shared" si="7"/>
        <v>0</v>
      </c>
      <c r="K16" s="96">
        <f t="shared" si="8"/>
        <v>0</v>
      </c>
      <c r="L16" s="96">
        <f t="shared" si="9"/>
        <v>0</v>
      </c>
      <c r="M16" s="96">
        <f t="shared" si="10"/>
        <v>0</v>
      </c>
      <c r="N16" s="96">
        <f t="shared" si="11"/>
        <v>0</v>
      </c>
      <c r="O16" s="96">
        <f t="shared" si="12"/>
        <v>0</v>
      </c>
      <c r="P16" s="96">
        <f t="shared" si="13"/>
        <v>0</v>
      </c>
      <c r="Q16" s="96">
        <f t="shared" si="14"/>
        <v>0</v>
      </c>
      <c r="R16" s="96">
        <f t="shared" si="15"/>
        <v>0</v>
      </c>
      <c r="S16" s="96">
        <f t="shared" si="16"/>
        <v>0</v>
      </c>
      <c r="T16" s="97">
        <f t="shared" si="17"/>
        <v>0</v>
      </c>
      <c r="U16" s="98">
        <f t="shared" si="18"/>
        <v>310250</v>
      </c>
      <c r="V16" s="99">
        <f t="shared" si="19"/>
        <v>0</v>
      </c>
      <c r="W16" s="99">
        <f t="shared" si="20"/>
        <v>0</v>
      </c>
      <c r="X16" s="99">
        <f t="shared" si="21"/>
        <v>16760</v>
      </c>
      <c r="Y16" s="96">
        <f t="shared" si="22"/>
        <v>5274</v>
      </c>
      <c r="Z16" s="96">
        <f t="shared" si="23"/>
        <v>9308</v>
      </c>
      <c r="AA16" s="96">
        <f t="shared" si="24"/>
        <v>46808</v>
      </c>
      <c r="AB16" s="96">
        <f t="shared" si="25"/>
        <v>0</v>
      </c>
      <c r="AC16" s="96">
        <f t="shared" si="26"/>
        <v>0</v>
      </c>
      <c r="AD16" s="96">
        <f t="shared" si="27"/>
        <v>0</v>
      </c>
      <c r="AE16" s="100">
        <f t="shared" si="28"/>
        <v>78150</v>
      </c>
      <c r="AF16" s="101">
        <f t="shared" si="29"/>
        <v>232100</v>
      </c>
      <c r="AG16" s="100">
        <f t="shared" si="30"/>
        <v>0</v>
      </c>
      <c r="AH16" s="96">
        <f t="shared" si="31"/>
        <v>0</v>
      </c>
    </row>
    <row r="17" spans="1:34" s="92" customFormat="1" ht="20.100000000000001" customHeight="1" x14ac:dyDescent="0.25">
      <c r="A17" s="94">
        <v>8</v>
      </c>
      <c r="B17" s="132" t="s">
        <v>183</v>
      </c>
      <c r="C17" s="94" t="str">
        <f t="shared" si="0"/>
        <v>Inspektori i Përgjithshëm i Inspektoratit të Lartë të Deklarimit dhe Kontrollit të Pasurive dhe Konfliktit të Interesave</v>
      </c>
      <c r="D17" s="95" t="str">
        <f t="shared" si="1"/>
        <v>E</v>
      </c>
      <c r="E17" s="94">
        <f t="shared" si="2"/>
        <v>22</v>
      </c>
      <c r="F17" s="96">
        <f t="shared" si="3"/>
        <v>0</v>
      </c>
      <c r="G17" s="96">
        <f t="shared" si="4"/>
        <v>297500</v>
      </c>
      <c r="H17" s="96">
        <f t="shared" si="5"/>
        <v>0</v>
      </c>
      <c r="I17" s="96">
        <f t="shared" si="6"/>
        <v>0</v>
      </c>
      <c r="J17" s="96">
        <f t="shared" si="7"/>
        <v>0</v>
      </c>
      <c r="K17" s="96">
        <f t="shared" si="8"/>
        <v>0</v>
      </c>
      <c r="L17" s="96">
        <f t="shared" si="9"/>
        <v>0</v>
      </c>
      <c r="M17" s="96">
        <f t="shared" si="10"/>
        <v>0</v>
      </c>
      <c r="N17" s="96">
        <f t="shared" si="11"/>
        <v>0</v>
      </c>
      <c r="O17" s="96">
        <f t="shared" si="12"/>
        <v>0</v>
      </c>
      <c r="P17" s="96">
        <f t="shared" si="13"/>
        <v>0</v>
      </c>
      <c r="Q17" s="96">
        <f t="shared" si="14"/>
        <v>0</v>
      </c>
      <c r="R17" s="96">
        <f t="shared" si="15"/>
        <v>0</v>
      </c>
      <c r="S17" s="96">
        <f t="shared" si="16"/>
        <v>0</v>
      </c>
      <c r="T17" s="97">
        <f t="shared" si="17"/>
        <v>0</v>
      </c>
      <c r="U17" s="98">
        <f t="shared" si="18"/>
        <v>297500</v>
      </c>
      <c r="V17" s="99">
        <f t="shared" si="19"/>
        <v>0</v>
      </c>
      <c r="W17" s="99">
        <f t="shared" si="20"/>
        <v>0</v>
      </c>
      <c r="X17" s="99">
        <f t="shared" si="21"/>
        <v>16760</v>
      </c>
      <c r="Y17" s="96">
        <f t="shared" si="22"/>
        <v>5058</v>
      </c>
      <c r="Z17" s="96">
        <f t="shared" si="23"/>
        <v>8925</v>
      </c>
      <c r="AA17" s="96">
        <f t="shared" si="24"/>
        <v>43875</v>
      </c>
      <c r="AB17" s="96">
        <f t="shared" si="25"/>
        <v>0</v>
      </c>
      <c r="AC17" s="96">
        <f t="shared" si="26"/>
        <v>0</v>
      </c>
      <c r="AD17" s="96">
        <f t="shared" si="27"/>
        <v>0</v>
      </c>
      <c r="AE17" s="100">
        <f t="shared" si="28"/>
        <v>74618</v>
      </c>
      <c r="AF17" s="101">
        <f t="shared" si="29"/>
        <v>222882</v>
      </c>
      <c r="AG17" s="100">
        <f t="shared" si="30"/>
        <v>0</v>
      </c>
      <c r="AH17" s="96">
        <f t="shared" si="31"/>
        <v>0</v>
      </c>
    </row>
    <row r="18" spans="1:34" s="92" customFormat="1" ht="20.100000000000001" customHeight="1" x14ac:dyDescent="0.25">
      <c r="A18" s="94">
        <v>9</v>
      </c>
      <c r="B18" s="132" t="s">
        <v>184</v>
      </c>
      <c r="C18" s="94" t="str">
        <f t="shared" si="0"/>
        <v xml:space="preserve">Komisioneri për Mbikëqyrjen e Shërbimit Civil </v>
      </c>
      <c r="D18" s="95" t="str">
        <f t="shared" si="1"/>
        <v>F</v>
      </c>
      <c r="E18" s="94">
        <f t="shared" si="2"/>
        <v>22</v>
      </c>
      <c r="F18" s="96">
        <f t="shared" si="3"/>
        <v>0</v>
      </c>
      <c r="G18" s="96">
        <f t="shared" si="4"/>
        <v>255000</v>
      </c>
      <c r="H18" s="96">
        <f t="shared" si="5"/>
        <v>0</v>
      </c>
      <c r="I18" s="96">
        <f t="shared" si="6"/>
        <v>0</v>
      </c>
      <c r="J18" s="96">
        <f t="shared" si="7"/>
        <v>0</v>
      </c>
      <c r="K18" s="96">
        <f t="shared" si="8"/>
        <v>0</v>
      </c>
      <c r="L18" s="96">
        <f t="shared" si="9"/>
        <v>0</v>
      </c>
      <c r="M18" s="96">
        <f t="shared" si="10"/>
        <v>0</v>
      </c>
      <c r="N18" s="96">
        <f t="shared" si="11"/>
        <v>0</v>
      </c>
      <c r="O18" s="96">
        <f t="shared" si="12"/>
        <v>0</v>
      </c>
      <c r="P18" s="96">
        <f t="shared" si="13"/>
        <v>0</v>
      </c>
      <c r="Q18" s="96">
        <f t="shared" si="14"/>
        <v>0</v>
      </c>
      <c r="R18" s="96">
        <f t="shared" si="15"/>
        <v>0</v>
      </c>
      <c r="S18" s="96">
        <f t="shared" si="16"/>
        <v>0</v>
      </c>
      <c r="T18" s="97">
        <f t="shared" si="17"/>
        <v>0</v>
      </c>
      <c r="U18" s="98">
        <f t="shared" si="18"/>
        <v>255000</v>
      </c>
      <c r="V18" s="99">
        <f t="shared" si="19"/>
        <v>0</v>
      </c>
      <c r="W18" s="99">
        <f t="shared" si="20"/>
        <v>0</v>
      </c>
      <c r="X18" s="99">
        <f t="shared" si="21"/>
        <v>16760</v>
      </c>
      <c r="Y18" s="96">
        <f t="shared" si="22"/>
        <v>4335</v>
      </c>
      <c r="Z18" s="96">
        <f t="shared" si="23"/>
        <v>7650</v>
      </c>
      <c r="AA18" s="96">
        <f t="shared" si="24"/>
        <v>34100</v>
      </c>
      <c r="AB18" s="96">
        <f t="shared" si="25"/>
        <v>0</v>
      </c>
      <c r="AC18" s="96">
        <f t="shared" si="26"/>
        <v>0</v>
      </c>
      <c r="AD18" s="96">
        <f t="shared" si="27"/>
        <v>0</v>
      </c>
      <c r="AE18" s="100">
        <f t="shared" si="28"/>
        <v>62845</v>
      </c>
      <c r="AF18" s="101">
        <f t="shared" si="29"/>
        <v>192155</v>
      </c>
      <c r="AG18" s="100">
        <f t="shared" si="30"/>
        <v>0</v>
      </c>
      <c r="AH18" s="96">
        <f t="shared" si="31"/>
        <v>0</v>
      </c>
    </row>
    <row r="19" spans="1:34" s="92" customFormat="1" ht="20.100000000000001" customHeight="1" x14ac:dyDescent="0.25">
      <c r="A19" s="94">
        <v>10</v>
      </c>
      <c r="B19" s="132" t="s">
        <v>185</v>
      </c>
      <c r="C19" s="94" t="str">
        <f t="shared" si="0"/>
        <v>Kryetari i Komisionit të Autoritetit të Konkurrencës</v>
      </c>
      <c r="D19" s="95" t="str">
        <f t="shared" si="1"/>
        <v>F</v>
      </c>
      <c r="E19" s="94">
        <f t="shared" si="2"/>
        <v>22</v>
      </c>
      <c r="F19" s="96">
        <f t="shared" si="3"/>
        <v>0</v>
      </c>
      <c r="G19" s="96">
        <f t="shared" si="4"/>
        <v>255000</v>
      </c>
      <c r="H19" s="96">
        <f t="shared" si="5"/>
        <v>0</v>
      </c>
      <c r="I19" s="96">
        <f t="shared" si="6"/>
        <v>0</v>
      </c>
      <c r="J19" s="96">
        <f t="shared" si="7"/>
        <v>0</v>
      </c>
      <c r="K19" s="96">
        <f t="shared" si="8"/>
        <v>0</v>
      </c>
      <c r="L19" s="96">
        <f t="shared" si="9"/>
        <v>0</v>
      </c>
      <c r="M19" s="96">
        <f t="shared" si="10"/>
        <v>0</v>
      </c>
      <c r="N19" s="96">
        <f t="shared" si="11"/>
        <v>0</v>
      </c>
      <c r="O19" s="96">
        <f t="shared" si="12"/>
        <v>0</v>
      </c>
      <c r="P19" s="96">
        <f t="shared" si="13"/>
        <v>0</v>
      </c>
      <c r="Q19" s="96">
        <f t="shared" si="14"/>
        <v>0</v>
      </c>
      <c r="R19" s="96">
        <f t="shared" si="15"/>
        <v>0</v>
      </c>
      <c r="S19" s="96">
        <f t="shared" si="16"/>
        <v>0</v>
      </c>
      <c r="T19" s="97">
        <f t="shared" si="17"/>
        <v>0</v>
      </c>
      <c r="U19" s="98">
        <f t="shared" si="18"/>
        <v>255000</v>
      </c>
      <c r="V19" s="99">
        <f t="shared" si="19"/>
        <v>0</v>
      </c>
      <c r="W19" s="99">
        <f t="shared" si="20"/>
        <v>0</v>
      </c>
      <c r="X19" s="99">
        <f t="shared" si="21"/>
        <v>16760</v>
      </c>
      <c r="Y19" s="96">
        <f t="shared" si="22"/>
        <v>4335</v>
      </c>
      <c r="Z19" s="96">
        <f t="shared" si="23"/>
        <v>7650</v>
      </c>
      <c r="AA19" s="96">
        <f t="shared" si="24"/>
        <v>34100</v>
      </c>
      <c r="AB19" s="96">
        <f t="shared" si="25"/>
        <v>0</v>
      </c>
      <c r="AC19" s="96">
        <f t="shared" si="26"/>
        <v>0</v>
      </c>
      <c r="AD19" s="96">
        <f t="shared" si="27"/>
        <v>0</v>
      </c>
      <c r="AE19" s="100">
        <f t="shared" si="28"/>
        <v>62845</v>
      </c>
      <c r="AF19" s="101">
        <f t="shared" si="29"/>
        <v>192155</v>
      </c>
      <c r="AG19" s="100">
        <f t="shared" si="30"/>
        <v>0</v>
      </c>
      <c r="AH19" s="96">
        <f t="shared" si="31"/>
        <v>0</v>
      </c>
    </row>
    <row r="20" spans="1:34" s="92" customFormat="1" ht="20.100000000000001" customHeight="1" x14ac:dyDescent="0.25">
      <c r="A20" s="94">
        <v>11</v>
      </c>
      <c r="B20" s="132" t="s">
        <v>186</v>
      </c>
      <c r="C20" s="94" t="str">
        <f t="shared" si="0"/>
        <v>Kryetari i Autoritetit të Komunikimeve Elektronike dhe Postare</v>
      </c>
      <c r="D20" s="95" t="str">
        <f t="shared" si="1"/>
        <v>F</v>
      </c>
      <c r="E20" s="94">
        <f t="shared" si="2"/>
        <v>22</v>
      </c>
      <c r="F20" s="96">
        <f t="shared" si="3"/>
        <v>0</v>
      </c>
      <c r="G20" s="96">
        <f t="shared" si="4"/>
        <v>255000</v>
      </c>
      <c r="H20" s="96">
        <f t="shared" si="5"/>
        <v>0</v>
      </c>
      <c r="I20" s="96">
        <f t="shared" si="6"/>
        <v>0</v>
      </c>
      <c r="J20" s="96">
        <f t="shared" si="7"/>
        <v>0</v>
      </c>
      <c r="K20" s="96">
        <f t="shared" si="8"/>
        <v>0</v>
      </c>
      <c r="L20" s="96">
        <f t="shared" si="9"/>
        <v>0</v>
      </c>
      <c r="M20" s="96">
        <f t="shared" si="10"/>
        <v>0</v>
      </c>
      <c r="N20" s="96">
        <f t="shared" si="11"/>
        <v>0</v>
      </c>
      <c r="O20" s="96">
        <f t="shared" si="12"/>
        <v>0</v>
      </c>
      <c r="P20" s="96">
        <f t="shared" si="13"/>
        <v>0</v>
      </c>
      <c r="Q20" s="96">
        <f t="shared" si="14"/>
        <v>0</v>
      </c>
      <c r="R20" s="96">
        <f t="shared" si="15"/>
        <v>0</v>
      </c>
      <c r="S20" s="96">
        <f t="shared" si="16"/>
        <v>0</v>
      </c>
      <c r="T20" s="97">
        <f t="shared" si="17"/>
        <v>0</v>
      </c>
      <c r="U20" s="98">
        <f t="shared" si="18"/>
        <v>255000</v>
      </c>
      <c r="V20" s="99">
        <f t="shared" si="19"/>
        <v>0</v>
      </c>
      <c r="W20" s="99">
        <f t="shared" si="20"/>
        <v>0</v>
      </c>
      <c r="X20" s="99">
        <f t="shared" si="21"/>
        <v>16760</v>
      </c>
      <c r="Y20" s="96">
        <f t="shared" si="22"/>
        <v>4335</v>
      </c>
      <c r="Z20" s="96">
        <f t="shared" si="23"/>
        <v>0</v>
      </c>
      <c r="AA20" s="96">
        <f t="shared" si="24"/>
        <v>34100</v>
      </c>
      <c r="AB20" s="96">
        <f t="shared" si="25"/>
        <v>0</v>
      </c>
      <c r="AC20" s="96">
        <f t="shared" si="26"/>
        <v>0</v>
      </c>
      <c r="AD20" s="96">
        <f t="shared" si="27"/>
        <v>0</v>
      </c>
      <c r="AE20" s="100">
        <f t="shared" si="28"/>
        <v>55195</v>
      </c>
      <c r="AF20" s="101">
        <f t="shared" si="29"/>
        <v>199805</v>
      </c>
      <c r="AG20" s="100">
        <f t="shared" si="30"/>
        <v>0</v>
      </c>
      <c r="AH20" s="96">
        <f t="shared" si="31"/>
        <v>0</v>
      </c>
    </row>
    <row r="21" spans="1:34" s="92" customFormat="1" ht="20.100000000000001" customHeight="1" x14ac:dyDescent="0.25">
      <c r="A21" s="94">
        <v>12</v>
      </c>
      <c r="B21" s="132" t="s">
        <v>187</v>
      </c>
      <c r="C21" s="94" t="str">
        <f t="shared" si="0"/>
        <v>Kryetari i Entit Rregullator të Sektorit të Furnizimit me Ujë dhe Largimit e Përpunimit të Ujërave të Ndotura</v>
      </c>
      <c r="D21" s="95" t="str">
        <f t="shared" si="1"/>
        <v>F</v>
      </c>
      <c r="E21" s="94">
        <f t="shared" si="2"/>
        <v>22</v>
      </c>
      <c r="F21" s="96">
        <f t="shared" si="3"/>
        <v>0</v>
      </c>
      <c r="G21" s="96">
        <f t="shared" si="4"/>
        <v>255000</v>
      </c>
      <c r="H21" s="96">
        <f t="shared" si="5"/>
        <v>0</v>
      </c>
      <c r="I21" s="96">
        <f t="shared" si="6"/>
        <v>0</v>
      </c>
      <c r="J21" s="96">
        <f t="shared" si="7"/>
        <v>0</v>
      </c>
      <c r="K21" s="96">
        <f t="shared" si="8"/>
        <v>0</v>
      </c>
      <c r="L21" s="96">
        <f t="shared" si="9"/>
        <v>0</v>
      </c>
      <c r="M21" s="96">
        <f t="shared" si="10"/>
        <v>0</v>
      </c>
      <c r="N21" s="96">
        <f t="shared" si="11"/>
        <v>0</v>
      </c>
      <c r="O21" s="96">
        <f t="shared" si="12"/>
        <v>0</v>
      </c>
      <c r="P21" s="96">
        <f t="shared" si="13"/>
        <v>0</v>
      </c>
      <c r="Q21" s="96">
        <f t="shared" si="14"/>
        <v>0</v>
      </c>
      <c r="R21" s="96">
        <f t="shared" si="15"/>
        <v>0</v>
      </c>
      <c r="S21" s="96">
        <f t="shared" si="16"/>
        <v>0</v>
      </c>
      <c r="T21" s="97">
        <f t="shared" si="17"/>
        <v>0</v>
      </c>
      <c r="U21" s="98">
        <f t="shared" si="18"/>
        <v>255000</v>
      </c>
      <c r="V21" s="99">
        <f t="shared" si="19"/>
        <v>0</v>
      </c>
      <c r="W21" s="99">
        <f t="shared" si="20"/>
        <v>0</v>
      </c>
      <c r="X21" s="99">
        <f t="shared" si="21"/>
        <v>16760</v>
      </c>
      <c r="Y21" s="96">
        <f t="shared" si="22"/>
        <v>4335</v>
      </c>
      <c r="Z21" s="96">
        <f t="shared" si="23"/>
        <v>0</v>
      </c>
      <c r="AA21" s="96">
        <f t="shared" si="24"/>
        <v>34100</v>
      </c>
      <c r="AB21" s="96">
        <f t="shared" si="25"/>
        <v>0</v>
      </c>
      <c r="AC21" s="96">
        <f t="shared" si="26"/>
        <v>0</v>
      </c>
      <c r="AD21" s="96">
        <f t="shared" si="27"/>
        <v>0</v>
      </c>
      <c r="AE21" s="100">
        <f t="shared" si="28"/>
        <v>55195</v>
      </c>
      <c r="AF21" s="101">
        <f t="shared" si="29"/>
        <v>199805</v>
      </c>
      <c r="AG21" s="100">
        <f t="shared" si="30"/>
        <v>0</v>
      </c>
      <c r="AH21" s="96">
        <f t="shared" si="31"/>
        <v>0</v>
      </c>
    </row>
    <row r="22" spans="1:34" s="92" customFormat="1" ht="20.100000000000001" customHeight="1" x14ac:dyDescent="0.25">
      <c r="A22" s="94">
        <v>13</v>
      </c>
      <c r="B22" s="132" t="s">
        <v>188</v>
      </c>
      <c r="C22" s="94" t="str">
        <f t="shared" si="0"/>
        <v>Kryetari i Autoritetit të Mediave Audiovizive</v>
      </c>
      <c r="D22" s="95" t="str">
        <f t="shared" si="1"/>
        <v>F</v>
      </c>
      <c r="E22" s="94">
        <f t="shared" si="2"/>
        <v>22</v>
      </c>
      <c r="F22" s="96">
        <f t="shared" si="3"/>
        <v>0</v>
      </c>
      <c r="G22" s="96">
        <f t="shared" si="4"/>
        <v>255000</v>
      </c>
      <c r="H22" s="96">
        <f t="shared" si="5"/>
        <v>0</v>
      </c>
      <c r="I22" s="96">
        <f t="shared" si="6"/>
        <v>0</v>
      </c>
      <c r="J22" s="96">
        <f t="shared" si="7"/>
        <v>0</v>
      </c>
      <c r="K22" s="96">
        <f t="shared" si="8"/>
        <v>0</v>
      </c>
      <c r="L22" s="96">
        <f t="shared" si="9"/>
        <v>0</v>
      </c>
      <c r="M22" s="96">
        <f t="shared" si="10"/>
        <v>0</v>
      </c>
      <c r="N22" s="96">
        <f t="shared" si="11"/>
        <v>0</v>
      </c>
      <c r="O22" s="96">
        <f t="shared" si="12"/>
        <v>0</v>
      </c>
      <c r="P22" s="96">
        <f t="shared" si="13"/>
        <v>0</v>
      </c>
      <c r="Q22" s="96">
        <f t="shared" si="14"/>
        <v>0</v>
      </c>
      <c r="R22" s="96">
        <f t="shared" si="15"/>
        <v>0</v>
      </c>
      <c r="S22" s="96">
        <f t="shared" si="16"/>
        <v>0</v>
      </c>
      <c r="T22" s="97">
        <f t="shared" si="17"/>
        <v>0</v>
      </c>
      <c r="U22" s="98">
        <f t="shared" si="18"/>
        <v>255000</v>
      </c>
      <c r="V22" s="99">
        <f t="shared" si="19"/>
        <v>0</v>
      </c>
      <c r="W22" s="99">
        <f t="shared" si="20"/>
        <v>0</v>
      </c>
      <c r="X22" s="99">
        <f t="shared" si="21"/>
        <v>16760</v>
      </c>
      <c r="Y22" s="96">
        <f t="shared" si="22"/>
        <v>4335</v>
      </c>
      <c r="Z22" s="96">
        <f t="shared" si="23"/>
        <v>0</v>
      </c>
      <c r="AA22" s="96">
        <f t="shared" si="24"/>
        <v>34100</v>
      </c>
      <c r="AB22" s="96">
        <f t="shared" si="25"/>
        <v>0</v>
      </c>
      <c r="AC22" s="96">
        <f t="shared" si="26"/>
        <v>0</v>
      </c>
      <c r="AD22" s="96">
        <f t="shared" si="27"/>
        <v>0</v>
      </c>
      <c r="AE22" s="100">
        <f t="shared" si="28"/>
        <v>55195</v>
      </c>
      <c r="AF22" s="101">
        <f t="shared" si="29"/>
        <v>199805</v>
      </c>
      <c r="AG22" s="100">
        <f t="shared" si="30"/>
        <v>0</v>
      </c>
      <c r="AH22" s="96">
        <f t="shared" si="31"/>
        <v>0</v>
      </c>
    </row>
    <row r="23" spans="1:34" s="92" customFormat="1" ht="20.100000000000001" customHeight="1" x14ac:dyDescent="0.25">
      <c r="A23" s="94">
        <v>14</v>
      </c>
      <c r="B23" s="132" t="s">
        <v>189</v>
      </c>
      <c r="C23" s="94" t="str">
        <f t="shared" si="0"/>
        <v>Komisioneri për të Drejtën e Informimit dhe Mbrojtjen e të Dhënave Personale</v>
      </c>
      <c r="D23" s="95" t="str">
        <f t="shared" si="1"/>
        <v>F</v>
      </c>
      <c r="E23" s="94">
        <f t="shared" si="2"/>
        <v>22</v>
      </c>
      <c r="F23" s="96">
        <f t="shared" si="3"/>
        <v>0</v>
      </c>
      <c r="G23" s="96">
        <f t="shared" si="4"/>
        <v>255000</v>
      </c>
      <c r="H23" s="96">
        <f t="shared" si="5"/>
        <v>0</v>
      </c>
      <c r="I23" s="96">
        <f t="shared" si="6"/>
        <v>0</v>
      </c>
      <c r="J23" s="96">
        <f t="shared" si="7"/>
        <v>0</v>
      </c>
      <c r="K23" s="96">
        <f t="shared" si="8"/>
        <v>0</v>
      </c>
      <c r="L23" s="96">
        <f t="shared" si="9"/>
        <v>0</v>
      </c>
      <c r="M23" s="96">
        <f t="shared" si="10"/>
        <v>0</v>
      </c>
      <c r="N23" s="96">
        <f t="shared" si="11"/>
        <v>0</v>
      </c>
      <c r="O23" s="96">
        <f t="shared" si="12"/>
        <v>0</v>
      </c>
      <c r="P23" s="96">
        <f t="shared" si="13"/>
        <v>0</v>
      </c>
      <c r="Q23" s="96">
        <f t="shared" si="14"/>
        <v>0</v>
      </c>
      <c r="R23" s="96">
        <f t="shared" si="15"/>
        <v>0</v>
      </c>
      <c r="S23" s="96">
        <f t="shared" si="16"/>
        <v>0</v>
      </c>
      <c r="T23" s="97">
        <f t="shared" si="17"/>
        <v>0</v>
      </c>
      <c r="U23" s="98">
        <f t="shared" si="18"/>
        <v>255000</v>
      </c>
      <c r="V23" s="99">
        <f t="shared" si="19"/>
        <v>0</v>
      </c>
      <c r="W23" s="99">
        <f t="shared" si="20"/>
        <v>0</v>
      </c>
      <c r="X23" s="99">
        <f t="shared" si="21"/>
        <v>16760</v>
      </c>
      <c r="Y23" s="96">
        <f t="shared" si="22"/>
        <v>4335</v>
      </c>
      <c r="Z23" s="96">
        <f t="shared" si="23"/>
        <v>0</v>
      </c>
      <c r="AA23" s="96">
        <f t="shared" si="24"/>
        <v>34100</v>
      </c>
      <c r="AB23" s="96">
        <f t="shared" si="25"/>
        <v>0</v>
      </c>
      <c r="AC23" s="96">
        <f t="shared" si="26"/>
        <v>0</v>
      </c>
      <c r="AD23" s="96">
        <f t="shared" si="27"/>
        <v>0</v>
      </c>
      <c r="AE23" s="100">
        <f t="shared" si="28"/>
        <v>55195</v>
      </c>
      <c r="AF23" s="101">
        <f t="shared" si="29"/>
        <v>199805</v>
      </c>
      <c r="AG23" s="100">
        <f t="shared" si="30"/>
        <v>0</v>
      </c>
      <c r="AH23" s="96">
        <f t="shared" si="31"/>
        <v>0</v>
      </c>
    </row>
    <row r="24" spans="1:34" s="92" customFormat="1" ht="20.100000000000001" customHeight="1" x14ac:dyDescent="0.25">
      <c r="A24" s="94">
        <v>15</v>
      </c>
      <c r="B24" s="132" t="s">
        <v>190</v>
      </c>
      <c r="C24" s="94" t="str">
        <f t="shared" si="0"/>
        <v>Komisioneri për Mbrojtjen nga Diskriminimi</v>
      </c>
      <c r="D24" s="95" t="str">
        <f t="shared" si="1"/>
        <v>F</v>
      </c>
      <c r="E24" s="94">
        <f t="shared" si="2"/>
        <v>22</v>
      </c>
      <c r="F24" s="96">
        <f t="shared" si="3"/>
        <v>0</v>
      </c>
      <c r="G24" s="96">
        <f t="shared" si="4"/>
        <v>255000</v>
      </c>
      <c r="H24" s="96">
        <f t="shared" si="5"/>
        <v>0</v>
      </c>
      <c r="I24" s="96">
        <f t="shared" si="6"/>
        <v>0</v>
      </c>
      <c r="J24" s="96">
        <f t="shared" si="7"/>
        <v>0</v>
      </c>
      <c r="K24" s="96">
        <f t="shared" si="8"/>
        <v>0</v>
      </c>
      <c r="L24" s="96">
        <f t="shared" si="9"/>
        <v>0</v>
      </c>
      <c r="M24" s="96">
        <f t="shared" si="10"/>
        <v>0</v>
      </c>
      <c r="N24" s="96">
        <f t="shared" si="11"/>
        <v>0</v>
      </c>
      <c r="O24" s="96">
        <f t="shared" si="12"/>
        <v>0</v>
      </c>
      <c r="P24" s="96">
        <f t="shared" si="13"/>
        <v>0</v>
      </c>
      <c r="Q24" s="96">
        <f t="shared" si="14"/>
        <v>0</v>
      </c>
      <c r="R24" s="96">
        <f t="shared" si="15"/>
        <v>0</v>
      </c>
      <c r="S24" s="96">
        <f t="shared" si="16"/>
        <v>0</v>
      </c>
      <c r="T24" s="97">
        <f t="shared" si="17"/>
        <v>0</v>
      </c>
      <c r="U24" s="98">
        <f t="shared" si="18"/>
        <v>255000</v>
      </c>
      <c r="V24" s="99">
        <f t="shared" si="19"/>
        <v>0</v>
      </c>
      <c r="W24" s="99">
        <f t="shared" si="20"/>
        <v>0</v>
      </c>
      <c r="X24" s="99">
        <f t="shared" si="21"/>
        <v>16760</v>
      </c>
      <c r="Y24" s="96">
        <f t="shared" si="22"/>
        <v>4335</v>
      </c>
      <c r="Z24" s="96">
        <f t="shared" si="23"/>
        <v>0</v>
      </c>
      <c r="AA24" s="96">
        <f t="shared" si="24"/>
        <v>34100</v>
      </c>
      <c r="AB24" s="96">
        <f t="shared" si="25"/>
        <v>0</v>
      </c>
      <c r="AC24" s="96">
        <f t="shared" si="26"/>
        <v>0</v>
      </c>
      <c r="AD24" s="96">
        <f t="shared" si="27"/>
        <v>0</v>
      </c>
      <c r="AE24" s="100">
        <f t="shared" si="28"/>
        <v>55195</v>
      </c>
      <c r="AF24" s="101">
        <f t="shared" si="29"/>
        <v>199805</v>
      </c>
      <c r="AG24" s="100">
        <f t="shared" si="30"/>
        <v>0</v>
      </c>
      <c r="AH24" s="96">
        <f t="shared" si="31"/>
        <v>0</v>
      </c>
    </row>
    <row r="25" spans="1:34" s="92" customFormat="1" ht="20.100000000000001" customHeight="1" x14ac:dyDescent="0.25">
      <c r="A25" s="94">
        <v>16</v>
      </c>
      <c r="B25" s="132" t="s">
        <v>191</v>
      </c>
      <c r="C25" s="94" t="str">
        <f t="shared" si="0"/>
        <v>Kryetari i Autoritetit për Informimin mbi Dokumentet e ish-Sigurimit të Shtetit</v>
      </c>
      <c r="D25" s="95" t="str">
        <f t="shared" si="1"/>
        <v>F</v>
      </c>
      <c r="E25" s="94">
        <f t="shared" si="2"/>
        <v>22</v>
      </c>
      <c r="F25" s="96">
        <f t="shared" si="3"/>
        <v>0</v>
      </c>
      <c r="G25" s="96">
        <f t="shared" si="4"/>
        <v>255000</v>
      </c>
      <c r="H25" s="96">
        <f t="shared" si="5"/>
        <v>0</v>
      </c>
      <c r="I25" s="96">
        <f t="shared" si="6"/>
        <v>0</v>
      </c>
      <c r="J25" s="96">
        <f t="shared" si="7"/>
        <v>0</v>
      </c>
      <c r="K25" s="96">
        <f t="shared" si="8"/>
        <v>0</v>
      </c>
      <c r="L25" s="96">
        <f t="shared" si="9"/>
        <v>0</v>
      </c>
      <c r="M25" s="96">
        <f t="shared" si="10"/>
        <v>0</v>
      </c>
      <c r="N25" s="96">
        <f t="shared" si="11"/>
        <v>0</v>
      </c>
      <c r="O25" s="96">
        <f t="shared" si="12"/>
        <v>0</v>
      </c>
      <c r="P25" s="96">
        <f t="shared" si="13"/>
        <v>0</v>
      </c>
      <c r="Q25" s="96">
        <f t="shared" si="14"/>
        <v>0</v>
      </c>
      <c r="R25" s="96">
        <f t="shared" si="15"/>
        <v>0</v>
      </c>
      <c r="S25" s="96">
        <f t="shared" si="16"/>
        <v>0</v>
      </c>
      <c r="T25" s="97">
        <f t="shared" si="17"/>
        <v>0</v>
      </c>
      <c r="U25" s="98">
        <f t="shared" si="18"/>
        <v>255000</v>
      </c>
      <c r="V25" s="99">
        <f t="shared" si="19"/>
        <v>0</v>
      </c>
      <c r="W25" s="99">
        <f t="shared" si="20"/>
        <v>0</v>
      </c>
      <c r="X25" s="99">
        <f t="shared" si="21"/>
        <v>16760</v>
      </c>
      <c r="Y25" s="96">
        <f t="shared" si="22"/>
        <v>4335</v>
      </c>
      <c r="Z25" s="96">
        <f t="shared" si="23"/>
        <v>0</v>
      </c>
      <c r="AA25" s="96">
        <f t="shared" si="24"/>
        <v>34100</v>
      </c>
      <c r="AB25" s="96">
        <f t="shared" si="25"/>
        <v>0</v>
      </c>
      <c r="AC25" s="96">
        <f t="shared" si="26"/>
        <v>0</v>
      </c>
      <c r="AD25" s="96">
        <f t="shared" si="27"/>
        <v>0</v>
      </c>
      <c r="AE25" s="100">
        <f t="shared" si="28"/>
        <v>55195</v>
      </c>
      <c r="AF25" s="101">
        <f t="shared" si="29"/>
        <v>199805</v>
      </c>
      <c r="AG25" s="100">
        <f t="shared" si="30"/>
        <v>0</v>
      </c>
      <c r="AH25" s="96">
        <f t="shared" si="31"/>
        <v>0</v>
      </c>
    </row>
    <row r="26" spans="1:34" s="92" customFormat="1" ht="20.100000000000001" customHeight="1" x14ac:dyDescent="0.25">
      <c r="A26" s="94">
        <v>17</v>
      </c>
      <c r="B26" s="132" t="s">
        <v>192</v>
      </c>
      <c r="C26" s="94" t="str">
        <f t="shared" si="0"/>
        <v>Drejtori i Përgjithshëm i Institutit të Statistikave</v>
      </c>
      <c r="D26" s="95" t="str">
        <f t="shared" si="1"/>
        <v>F</v>
      </c>
      <c r="E26" s="94">
        <f t="shared" si="2"/>
        <v>22</v>
      </c>
      <c r="F26" s="96">
        <f t="shared" si="3"/>
        <v>0</v>
      </c>
      <c r="G26" s="96">
        <f t="shared" si="4"/>
        <v>255000</v>
      </c>
      <c r="H26" s="96">
        <f t="shared" si="5"/>
        <v>0</v>
      </c>
      <c r="I26" s="96">
        <f t="shared" si="6"/>
        <v>0</v>
      </c>
      <c r="J26" s="96">
        <f t="shared" si="7"/>
        <v>0</v>
      </c>
      <c r="K26" s="96">
        <f t="shared" si="8"/>
        <v>0</v>
      </c>
      <c r="L26" s="96">
        <f t="shared" si="9"/>
        <v>0</v>
      </c>
      <c r="M26" s="96">
        <f t="shared" si="10"/>
        <v>0</v>
      </c>
      <c r="N26" s="96">
        <f t="shared" si="11"/>
        <v>0</v>
      </c>
      <c r="O26" s="96">
        <f t="shared" si="12"/>
        <v>0</v>
      </c>
      <c r="P26" s="96">
        <f t="shared" si="13"/>
        <v>0</v>
      </c>
      <c r="Q26" s="96">
        <f t="shared" si="14"/>
        <v>0</v>
      </c>
      <c r="R26" s="96">
        <f t="shared" si="15"/>
        <v>0</v>
      </c>
      <c r="S26" s="96">
        <f t="shared" si="16"/>
        <v>0</v>
      </c>
      <c r="T26" s="97">
        <f t="shared" si="17"/>
        <v>0</v>
      </c>
      <c r="U26" s="98">
        <f t="shared" si="18"/>
        <v>255000</v>
      </c>
      <c r="V26" s="99">
        <f t="shared" si="19"/>
        <v>0</v>
      </c>
      <c r="W26" s="99">
        <f t="shared" si="20"/>
        <v>0</v>
      </c>
      <c r="X26" s="99">
        <f t="shared" si="21"/>
        <v>16760</v>
      </c>
      <c r="Y26" s="96">
        <f t="shared" si="22"/>
        <v>4335</v>
      </c>
      <c r="Z26" s="96">
        <f t="shared" si="23"/>
        <v>0</v>
      </c>
      <c r="AA26" s="96">
        <f t="shared" si="24"/>
        <v>34100</v>
      </c>
      <c r="AB26" s="96">
        <f t="shared" si="25"/>
        <v>0</v>
      </c>
      <c r="AC26" s="96">
        <f t="shared" si="26"/>
        <v>0</v>
      </c>
      <c r="AD26" s="96">
        <f t="shared" si="27"/>
        <v>0</v>
      </c>
      <c r="AE26" s="100">
        <f t="shared" si="28"/>
        <v>55195</v>
      </c>
      <c r="AF26" s="101">
        <f t="shared" si="29"/>
        <v>199805</v>
      </c>
      <c r="AG26" s="100">
        <f t="shared" si="30"/>
        <v>0</v>
      </c>
      <c r="AH26" s="96">
        <f t="shared" si="31"/>
        <v>0</v>
      </c>
    </row>
    <row r="27" spans="1:34" s="92" customFormat="1" ht="20.100000000000001" customHeight="1" x14ac:dyDescent="0.25">
      <c r="A27" s="94">
        <v>18</v>
      </c>
      <c r="B27" s="132" t="s">
        <v>193</v>
      </c>
      <c r="C27" s="94" t="str">
        <f t="shared" si="0"/>
        <v>Anëtarët e Komisionit të Konkurrencës</v>
      </c>
      <c r="D27" s="95" t="str">
        <f t="shared" si="1"/>
        <v>G</v>
      </c>
      <c r="E27" s="94">
        <f t="shared" si="2"/>
        <v>22</v>
      </c>
      <c r="F27" s="96">
        <f t="shared" si="3"/>
        <v>0</v>
      </c>
      <c r="G27" s="96">
        <f t="shared" si="4"/>
        <v>191250</v>
      </c>
      <c r="H27" s="96">
        <f t="shared" si="5"/>
        <v>0</v>
      </c>
      <c r="I27" s="96">
        <f t="shared" si="6"/>
        <v>0</v>
      </c>
      <c r="J27" s="96">
        <f t="shared" si="7"/>
        <v>0</v>
      </c>
      <c r="K27" s="96">
        <f t="shared" si="8"/>
        <v>0</v>
      </c>
      <c r="L27" s="96">
        <f t="shared" si="9"/>
        <v>0</v>
      </c>
      <c r="M27" s="96">
        <f t="shared" si="10"/>
        <v>0</v>
      </c>
      <c r="N27" s="96">
        <f t="shared" si="11"/>
        <v>0</v>
      </c>
      <c r="O27" s="96">
        <f t="shared" si="12"/>
        <v>0</v>
      </c>
      <c r="P27" s="96">
        <f t="shared" si="13"/>
        <v>0</v>
      </c>
      <c r="Q27" s="96">
        <f t="shared" si="14"/>
        <v>0</v>
      </c>
      <c r="R27" s="96">
        <f t="shared" si="15"/>
        <v>0</v>
      </c>
      <c r="S27" s="96">
        <f t="shared" si="16"/>
        <v>0</v>
      </c>
      <c r="T27" s="97">
        <f t="shared" si="17"/>
        <v>0</v>
      </c>
      <c r="U27" s="98">
        <f t="shared" si="18"/>
        <v>191250</v>
      </c>
      <c r="V27" s="99">
        <f t="shared" si="19"/>
        <v>0</v>
      </c>
      <c r="W27" s="99">
        <f t="shared" si="20"/>
        <v>0</v>
      </c>
      <c r="X27" s="99">
        <f t="shared" si="21"/>
        <v>16760</v>
      </c>
      <c r="Y27" s="96">
        <f t="shared" si="22"/>
        <v>3251</v>
      </c>
      <c r="Z27" s="96">
        <f t="shared" si="23"/>
        <v>0</v>
      </c>
      <c r="AA27" s="96">
        <f t="shared" si="24"/>
        <v>20963</v>
      </c>
      <c r="AB27" s="96">
        <f t="shared" si="25"/>
        <v>0</v>
      </c>
      <c r="AC27" s="96">
        <f t="shared" si="26"/>
        <v>0</v>
      </c>
      <c r="AD27" s="96">
        <f t="shared" si="27"/>
        <v>0</v>
      </c>
      <c r="AE27" s="100">
        <f t="shared" si="28"/>
        <v>40974</v>
      </c>
      <c r="AF27" s="101">
        <f t="shared" si="29"/>
        <v>150276</v>
      </c>
      <c r="AG27" s="100">
        <f t="shared" si="30"/>
        <v>0</v>
      </c>
      <c r="AH27" s="96">
        <f t="shared" si="31"/>
        <v>0</v>
      </c>
    </row>
    <row r="28" spans="1:34" s="92" customFormat="1" ht="20.100000000000001" customHeight="1" x14ac:dyDescent="0.25">
      <c r="A28" s="94">
        <v>19</v>
      </c>
      <c r="B28" s="132" t="s">
        <v>194</v>
      </c>
      <c r="C28" s="94" t="str">
        <f t="shared" si="0"/>
        <v xml:space="preserve">Anëtarët e Autoritetit të Komunikimeve Elektronike dhe Postare </v>
      </c>
      <c r="D28" s="95" t="str">
        <f t="shared" si="1"/>
        <v>G</v>
      </c>
      <c r="E28" s="94">
        <f t="shared" si="2"/>
        <v>22</v>
      </c>
      <c r="F28" s="96">
        <f t="shared" si="3"/>
        <v>0</v>
      </c>
      <c r="G28" s="96">
        <f t="shared" si="4"/>
        <v>191250</v>
      </c>
      <c r="H28" s="96">
        <f t="shared" si="5"/>
        <v>0</v>
      </c>
      <c r="I28" s="96">
        <f t="shared" si="6"/>
        <v>0</v>
      </c>
      <c r="J28" s="96">
        <f t="shared" si="7"/>
        <v>0</v>
      </c>
      <c r="K28" s="96">
        <f t="shared" si="8"/>
        <v>0</v>
      </c>
      <c r="L28" s="96">
        <f t="shared" si="9"/>
        <v>0</v>
      </c>
      <c r="M28" s="96">
        <f t="shared" si="10"/>
        <v>0</v>
      </c>
      <c r="N28" s="96">
        <f t="shared" si="11"/>
        <v>0</v>
      </c>
      <c r="O28" s="96">
        <f t="shared" si="12"/>
        <v>0</v>
      </c>
      <c r="P28" s="96">
        <f t="shared" si="13"/>
        <v>0</v>
      </c>
      <c r="Q28" s="96">
        <f t="shared" si="14"/>
        <v>0</v>
      </c>
      <c r="R28" s="96">
        <f t="shared" si="15"/>
        <v>0</v>
      </c>
      <c r="S28" s="96">
        <f t="shared" si="16"/>
        <v>0</v>
      </c>
      <c r="T28" s="97">
        <f t="shared" si="17"/>
        <v>0</v>
      </c>
      <c r="U28" s="98">
        <f t="shared" si="18"/>
        <v>191250</v>
      </c>
      <c r="V28" s="99">
        <f t="shared" si="19"/>
        <v>0</v>
      </c>
      <c r="W28" s="99">
        <f t="shared" si="20"/>
        <v>0</v>
      </c>
      <c r="X28" s="99">
        <f t="shared" si="21"/>
        <v>16760</v>
      </c>
      <c r="Y28" s="96">
        <f t="shared" si="22"/>
        <v>3251</v>
      </c>
      <c r="Z28" s="96">
        <f t="shared" si="23"/>
        <v>0</v>
      </c>
      <c r="AA28" s="96">
        <f t="shared" si="24"/>
        <v>20963</v>
      </c>
      <c r="AB28" s="96">
        <f t="shared" si="25"/>
        <v>0</v>
      </c>
      <c r="AC28" s="96">
        <f t="shared" si="26"/>
        <v>0</v>
      </c>
      <c r="AD28" s="96">
        <f t="shared" si="27"/>
        <v>0</v>
      </c>
      <c r="AE28" s="100">
        <f t="shared" si="28"/>
        <v>40974</v>
      </c>
      <c r="AF28" s="101">
        <f t="shared" si="29"/>
        <v>150276</v>
      </c>
      <c r="AG28" s="100">
        <f t="shared" si="30"/>
        <v>0</v>
      </c>
      <c r="AH28" s="96">
        <f t="shared" si="31"/>
        <v>0</v>
      </c>
    </row>
    <row r="29" spans="1:34" s="92" customFormat="1" ht="20.100000000000001" customHeight="1" x14ac:dyDescent="0.25">
      <c r="A29" s="94">
        <v>20</v>
      </c>
      <c r="B29" s="132" t="s">
        <v>195</v>
      </c>
      <c r="C29" s="94" t="str">
        <f t="shared" si="0"/>
        <v xml:space="preserve">Anëtari i Entit Rregullator të Sektorit të Furnizimit me Ujë dhe Largimit e Përpunimit të Ujërave të Ndotura </v>
      </c>
      <c r="D29" s="95" t="str">
        <f t="shared" si="1"/>
        <v>G</v>
      </c>
      <c r="E29" s="94">
        <f t="shared" si="2"/>
        <v>22</v>
      </c>
      <c r="F29" s="96">
        <f t="shared" si="3"/>
        <v>0</v>
      </c>
      <c r="G29" s="96">
        <f t="shared" si="4"/>
        <v>191250</v>
      </c>
      <c r="H29" s="96">
        <f t="shared" si="5"/>
        <v>0</v>
      </c>
      <c r="I29" s="96">
        <f t="shared" si="6"/>
        <v>0</v>
      </c>
      <c r="J29" s="96">
        <f t="shared" si="7"/>
        <v>0</v>
      </c>
      <c r="K29" s="96">
        <f t="shared" si="8"/>
        <v>0</v>
      </c>
      <c r="L29" s="96">
        <f t="shared" si="9"/>
        <v>0</v>
      </c>
      <c r="M29" s="96">
        <f t="shared" si="10"/>
        <v>0</v>
      </c>
      <c r="N29" s="96">
        <f t="shared" si="11"/>
        <v>0</v>
      </c>
      <c r="O29" s="96">
        <f t="shared" si="12"/>
        <v>0</v>
      </c>
      <c r="P29" s="96">
        <f t="shared" si="13"/>
        <v>0</v>
      </c>
      <c r="Q29" s="96">
        <f t="shared" si="14"/>
        <v>0</v>
      </c>
      <c r="R29" s="96">
        <f t="shared" si="15"/>
        <v>0</v>
      </c>
      <c r="S29" s="96">
        <f t="shared" si="16"/>
        <v>0</v>
      </c>
      <c r="T29" s="97">
        <f t="shared" si="17"/>
        <v>0</v>
      </c>
      <c r="U29" s="98">
        <f t="shared" si="18"/>
        <v>191250</v>
      </c>
      <c r="V29" s="99">
        <f t="shared" si="19"/>
        <v>0</v>
      </c>
      <c r="W29" s="99">
        <f t="shared" si="20"/>
        <v>0</v>
      </c>
      <c r="X29" s="99">
        <f t="shared" si="21"/>
        <v>16760</v>
      </c>
      <c r="Y29" s="96">
        <f t="shared" si="22"/>
        <v>3251</v>
      </c>
      <c r="Z29" s="96">
        <f t="shared" si="23"/>
        <v>0</v>
      </c>
      <c r="AA29" s="96">
        <f t="shared" si="24"/>
        <v>20963</v>
      </c>
      <c r="AB29" s="96">
        <f t="shared" si="25"/>
        <v>0</v>
      </c>
      <c r="AC29" s="96">
        <f t="shared" si="26"/>
        <v>0</v>
      </c>
      <c r="AD29" s="96">
        <f t="shared" si="27"/>
        <v>0</v>
      </c>
      <c r="AE29" s="100">
        <f t="shared" si="28"/>
        <v>40974</v>
      </c>
      <c r="AF29" s="101">
        <f t="shared" si="29"/>
        <v>150276</v>
      </c>
      <c r="AG29" s="100">
        <f t="shared" si="30"/>
        <v>0</v>
      </c>
      <c r="AH29" s="96">
        <f t="shared" si="31"/>
        <v>0</v>
      </c>
    </row>
    <row r="30" spans="1:34" s="92" customFormat="1" ht="20.100000000000001" customHeight="1" x14ac:dyDescent="0.25">
      <c r="A30" s="94">
        <v>21</v>
      </c>
      <c r="B30" s="132" t="s">
        <v>196</v>
      </c>
      <c r="C30" s="94" t="str">
        <f t="shared" si="0"/>
        <v>Zëvendëskryetari i Autoritetit të Mediave Audiovizive</v>
      </c>
      <c r="D30" s="95" t="str">
        <f t="shared" si="1"/>
        <v>G</v>
      </c>
      <c r="E30" s="94">
        <f t="shared" si="2"/>
        <v>22</v>
      </c>
      <c r="F30" s="96">
        <f t="shared" si="3"/>
        <v>0</v>
      </c>
      <c r="G30" s="96">
        <f t="shared" si="4"/>
        <v>191250</v>
      </c>
      <c r="H30" s="96">
        <f t="shared" si="5"/>
        <v>0</v>
      </c>
      <c r="I30" s="96">
        <f t="shared" si="6"/>
        <v>0</v>
      </c>
      <c r="J30" s="96">
        <f t="shared" si="7"/>
        <v>0</v>
      </c>
      <c r="K30" s="96">
        <f t="shared" si="8"/>
        <v>0</v>
      </c>
      <c r="L30" s="96">
        <f t="shared" si="9"/>
        <v>0</v>
      </c>
      <c r="M30" s="96">
        <f t="shared" si="10"/>
        <v>0</v>
      </c>
      <c r="N30" s="96">
        <f t="shared" si="11"/>
        <v>0</v>
      </c>
      <c r="O30" s="96">
        <f t="shared" si="12"/>
        <v>0</v>
      </c>
      <c r="P30" s="96">
        <f t="shared" si="13"/>
        <v>0</v>
      </c>
      <c r="Q30" s="96">
        <f t="shared" si="14"/>
        <v>0</v>
      </c>
      <c r="R30" s="96">
        <f t="shared" si="15"/>
        <v>0</v>
      </c>
      <c r="S30" s="96">
        <f t="shared" si="16"/>
        <v>0</v>
      </c>
      <c r="T30" s="97">
        <f t="shared" si="17"/>
        <v>0</v>
      </c>
      <c r="U30" s="98">
        <f t="shared" si="18"/>
        <v>191250</v>
      </c>
      <c r="V30" s="99">
        <f t="shared" si="19"/>
        <v>0</v>
      </c>
      <c r="W30" s="99">
        <f t="shared" si="20"/>
        <v>0</v>
      </c>
      <c r="X30" s="99">
        <f t="shared" si="21"/>
        <v>16760</v>
      </c>
      <c r="Y30" s="96">
        <f t="shared" si="22"/>
        <v>3251</v>
      </c>
      <c r="Z30" s="96">
        <f t="shared" si="23"/>
        <v>0</v>
      </c>
      <c r="AA30" s="96">
        <f t="shared" si="24"/>
        <v>20963</v>
      </c>
      <c r="AB30" s="96">
        <f t="shared" si="25"/>
        <v>0</v>
      </c>
      <c r="AC30" s="96">
        <f t="shared" si="26"/>
        <v>0</v>
      </c>
      <c r="AD30" s="96">
        <f t="shared" si="27"/>
        <v>0</v>
      </c>
      <c r="AE30" s="100">
        <f t="shared" si="28"/>
        <v>40974</v>
      </c>
      <c r="AF30" s="101">
        <f t="shared" si="29"/>
        <v>150276</v>
      </c>
      <c r="AG30" s="100">
        <f t="shared" si="30"/>
        <v>0</v>
      </c>
      <c r="AH30" s="96">
        <f t="shared" si="31"/>
        <v>0</v>
      </c>
    </row>
    <row r="31" spans="1:34" s="92" customFormat="1" ht="20.100000000000001" customHeight="1" x14ac:dyDescent="0.25">
      <c r="A31" s="94">
        <v>22</v>
      </c>
      <c r="B31" s="132" t="s">
        <v>197</v>
      </c>
      <c r="C31" s="94" t="str">
        <f t="shared" si="0"/>
        <v>Anëtarët e Autoritetit për Informimin mbi Dokumentet e ish-Sigurimit të Shtetit</v>
      </c>
      <c r="D31" s="95" t="str">
        <f t="shared" si="1"/>
        <v>G</v>
      </c>
      <c r="E31" s="94">
        <f t="shared" si="2"/>
        <v>22</v>
      </c>
      <c r="F31" s="96">
        <f t="shared" si="3"/>
        <v>0</v>
      </c>
      <c r="G31" s="96">
        <f t="shared" si="4"/>
        <v>191250</v>
      </c>
      <c r="H31" s="96">
        <f t="shared" si="5"/>
        <v>0</v>
      </c>
      <c r="I31" s="96">
        <f t="shared" si="6"/>
        <v>0</v>
      </c>
      <c r="J31" s="96">
        <f t="shared" si="7"/>
        <v>0</v>
      </c>
      <c r="K31" s="96">
        <f t="shared" si="8"/>
        <v>0</v>
      </c>
      <c r="L31" s="96">
        <f t="shared" si="9"/>
        <v>0</v>
      </c>
      <c r="M31" s="96">
        <f t="shared" si="10"/>
        <v>0</v>
      </c>
      <c r="N31" s="96">
        <f t="shared" si="11"/>
        <v>0</v>
      </c>
      <c r="O31" s="96">
        <f t="shared" si="12"/>
        <v>0</v>
      </c>
      <c r="P31" s="96">
        <f t="shared" si="13"/>
        <v>0</v>
      </c>
      <c r="Q31" s="96">
        <f t="shared" si="14"/>
        <v>0</v>
      </c>
      <c r="R31" s="96">
        <f t="shared" si="15"/>
        <v>0</v>
      </c>
      <c r="S31" s="96">
        <f t="shared" si="16"/>
        <v>0</v>
      </c>
      <c r="T31" s="97">
        <f t="shared" si="17"/>
        <v>0</v>
      </c>
      <c r="U31" s="98">
        <f t="shared" si="18"/>
        <v>191250</v>
      </c>
      <c r="V31" s="99">
        <f t="shared" si="19"/>
        <v>0</v>
      </c>
      <c r="W31" s="99">
        <f t="shared" si="20"/>
        <v>0</v>
      </c>
      <c r="X31" s="99">
        <f t="shared" si="21"/>
        <v>16760</v>
      </c>
      <c r="Y31" s="96">
        <f t="shared" si="22"/>
        <v>3251</v>
      </c>
      <c r="Z31" s="96">
        <f t="shared" si="23"/>
        <v>0</v>
      </c>
      <c r="AA31" s="96">
        <f t="shared" si="24"/>
        <v>20963</v>
      </c>
      <c r="AB31" s="96">
        <f t="shared" si="25"/>
        <v>0</v>
      </c>
      <c r="AC31" s="96">
        <f t="shared" si="26"/>
        <v>0</v>
      </c>
      <c r="AD31" s="96">
        <f t="shared" si="27"/>
        <v>0</v>
      </c>
      <c r="AE31" s="100">
        <f t="shared" si="28"/>
        <v>40974</v>
      </c>
      <c r="AF31" s="101">
        <f t="shared" si="29"/>
        <v>150276</v>
      </c>
      <c r="AG31" s="100">
        <f t="shared" si="30"/>
        <v>0</v>
      </c>
      <c r="AH31" s="96">
        <f t="shared" si="31"/>
        <v>0</v>
      </c>
    </row>
    <row r="32" spans="1:34" s="92" customFormat="1" ht="20.100000000000001" customHeight="1" x14ac:dyDescent="0.25">
      <c r="A32" s="94">
        <v>23</v>
      </c>
      <c r="B32" s="132" t="s">
        <v>198</v>
      </c>
      <c r="C32" s="94" t="str">
        <f t="shared" si="0"/>
        <v>Nepunes_Civil_Kategoria_I</v>
      </c>
      <c r="D32" s="95" t="str">
        <f t="shared" si="1"/>
        <v>I-1</v>
      </c>
      <c r="E32" s="94">
        <f t="shared" si="2"/>
        <v>22</v>
      </c>
      <c r="F32" s="96">
        <f t="shared" si="3"/>
        <v>14000</v>
      </c>
      <c r="G32" s="96">
        <f t="shared" si="4"/>
        <v>235000</v>
      </c>
      <c r="H32" s="96">
        <f t="shared" si="5"/>
        <v>0</v>
      </c>
      <c r="I32" s="96">
        <f t="shared" si="6"/>
        <v>1410</v>
      </c>
      <c r="J32" s="96">
        <f t="shared" si="7"/>
        <v>0</v>
      </c>
      <c r="K32" s="96">
        <f t="shared" si="8"/>
        <v>0</v>
      </c>
      <c r="L32" s="96">
        <f t="shared" si="9"/>
        <v>0</v>
      </c>
      <c r="M32" s="96">
        <f t="shared" si="10"/>
        <v>0</v>
      </c>
      <c r="N32" s="96">
        <f t="shared" si="11"/>
        <v>0</v>
      </c>
      <c r="O32" s="96">
        <f t="shared" si="12"/>
        <v>0</v>
      </c>
      <c r="P32" s="96">
        <f t="shared" si="13"/>
        <v>0</v>
      </c>
      <c r="Q32" s="96">
        <f t="shared" si="14"/>
        <v>0</v>
      </c>
      <c r="R32" s="96">
        <f t="shared" si="15"/>
        <v>0</v>
      </c>
      <c r="S32" s="96">
        <f t="shared" si="16"/>
        <v>0</v>
      </c>
      <c r="T32" s="97">
        <f t="shared" si="17"/>
        <v>0</v>
      </c>
      <c r="U32" s="98">
        <f t="shared" si="18"/>
        <v>250410</v>
      </c>
      <c r="V32" s="99">
        <f t="shared" si="19"/>
        <v>0</v>
      </c>
      <c r="W32" s="99">
        <f t="shared" si="20"/>
        <v>0</v>
      </c>
      <c r="X32" s="99">
        <f t="shared" si="21"/>
        <v>16760</v>
      </c>
      <c r="Y32" s="96">
        <f t="shared" si="22"/>
        <v>4257</v>
      </c>
      <c r="Z32" s="96">
        <f t="shared" si="23"/>
        <v>0</v>
      </c>
      <c r="AA32" s="96">
        <f t="shared" si="24"/>
        <v>33044</v>
      </c>
      <c r="AB32" s="96">
        <f t="shared" si="25"/>
        <v>0</v>
      </c>
      <c r="AC32" s="96">
        <f t="shared" si="26"/>
        <v>0</v>
      </c>
      <c r="AD32" s="96">
        <f t="shared" si="27"/>
        <v>0</v>
      </c>
      <c r="AE32" s="100">
        <f t="shared" si="28"/>
        <v>54061</v>
      </c>
      <c r="AF32" s="101">
        <f t="shared" si="29"/>
        <v>196349</v>
      </c>
      <c r="AG32" s="100">
        <f t="shared" si="30"/>
        <v>0</v>
      </c>
      <c r="AH32" s="96">
        <f t="shared" si="31"/>
        <v>0</v>
      </c>
    </row>
    <row r="33" spans="1:34" s="92" customFormat="1" ht="20.100000000000001" customHeight="1" x14ac:dyDescent="0.25">
      <c r="A33" s="94">
        <v>24</v>
      </c>
      <c r="B33" s="132" t="s">
        <v>199</v>
      </c>
      <c r="C33" s="94" t="str">
        <f t="shared" si="0"/>
        <v>Nepunes_Civil_Kategoria_I</v>
      </c>
      <c r="D33" s="95" t="str">
        <f t="shared" si="1"/>
        <v>I-2</v>
      </c>
      <c r="E33" s="94">
        <f t="shared" si="2"/>
        <v>22</v>
      </c>
      <c r="F33" s="96">
        <f t="shared" si="3"/>
        <v>14000</v>
      </c>
      <c r="G33" s="96">
        <f t="shared" si="4"/>
        <v>217000</v>
      </c>
      <c r="H33" s="96">
        <f t="shared" si="5"/>
        <v>0</v>
      </c>
      <c r="I33" s="96">
        <f t="shared" si="6"/>
        <v>2604</v>
      </c>
      <c r="J33" s="96">
        <f t="shared" si="7"/>
        <v>0</v>
      </c>
      <c r="K33" s="96">
        <f t="shared" si="8"/>
        <v>0</v>
      </c>
      <c r="L33" s="96">
        <f t="shared" si="9"/>
        <v>0</v>
      </c>
      <c r="M33" s="96">
        <f t="shared" si="10"/>
        <v>0</v>
      </c>
      <c r="N33" s="96">
        <f t="shared" si="11"/>
        <v>0</v>
      </c>
      <c r="O33" s="96">
        <f t="shared" si="12"/>
        <v>0</v>
      </c>
      <c r="P33" s="96">
        <f t="shared" si="13"/>
        <v>0</v>
      </c>
      <c r="Q33" s="96">
        <f t="shared" si="14"/>
        <v>0</v>
      </c>
      <c r="R33" s="96">
        <f t="shared" si="15"/>
        <v>0</v>
      </c>
      <c r="S33" s="96">
        <f t="shared" si="16"/>
        <v>0</v>
      </c>
      <c r="T33" s="97">
        <f t="shared" si="17"/>
        <v>0</v>
      </c>
      <c r="U33" s="98">
        <f t="shared" si="18"/>
        <v>233604</v>
      </c>
      <c r="V33" s="99">
        <f t="shared" si="19"/>
        <v>0</v>
      </c>
      <c r="W33" s="99">
        <f t="shared" si="20"/>
        <v>0</v>
      </c>
      <c r="X33" s="99">
        <f t="shared" si="21"/>
        <v>16760</v>
      </c>
      <c r="Y33" s="96">
        <f t="shared" si="22"/>
        <v>3971</v>
      </c>
      <c r="Z33" s="96">
        <f t="shared" si="23"/>
        <v>0</v>
      </c>
      <c r="AA33" s="96">
        <f t="shared" si="24"/>
        <v>29179</v>
      </c>
      <c r="AB33" s="96">
        <f t="shared" si="25"/>
        <v>0</v>
      </c>
      <c r="AC33" s="96">
        <f t="shared" si="26"/>
        <v>0</v>
      </c>
      <c r="AD33" s="96">
        <f t="shared" si="27"/>
        <v>0</v>
      </c>
      <c r="AE33" s="100">
        <f t="shared" si="28"/>
        <v>49910</v>
      </c>
      <c r="AF33" s="101">
        <f t="shared" si="29"/>
        <v>183694</v>
      </c>
      <c r="AG33" s="100">
        <f t="shared" si="30"/>
        <v>0</v>
      </c>
      <c r="AH33" s="96">
        <f t="shared" si="31"/>
        <v>0</v>
      </c>
    </row>
    <row r="34" spans="1:34" s="92" customFormat="1" ht="20.100000000000001" customHeight="1" x14ac:dyDescent="0.25">
      <c r="A34" s="94">
        <v>25</v>
      </c>
      <c r="B34" s="132" t="s">
        <v>200</v>
      </c>
      <c r="C34" s="94" t="str">
        <f t="shared" si="0"/>
        <v>Nepunes_Civil_Kategoria_I</v>
      </c>
      <c r="D34" s="95" t="str">
        <f t="shared" si="1"/>
        <v>I-3</v>
      </c>
      <c r="E34" s="94">
        <f t="shared" si="2"/>
        <v>22</v>
      </c>
      <c r="F34" s="96">
        <f t="shared" si="3"/>
        <v>14000</v>
      </c>
      <c r="G34" s="96">
        <f t="shared" si="4"/>
        <v>205000</v>
      </c>
      <c r="H34" s="96">
        <f t="shared" si="5"/>
        <v>0</v>
      </c>
      <c r="I34" s="96">
        <f t="shared" si="6"/>
        <v>3690</v>
      </c>
      <c r="J34" s="96">
        <f t="shared" si="7"/>
        <v>0</v>
      </c>
      <c r="K34" s="96">
        <f t="shared" si="8"/>
        <v>0</v>
      </c>
      <c r="L34" s="96">
        <f t="shared" si="9"/>
        <v>0</v>
      </c>
      <c r="M34" s="96">
        <f t="shared" si="10"/>
        <v>0</v>
      </c>
      <c r="N34" s="96">
        <f t="shared" si="11"/>
        <v>0</v>
      </c>
      <c r="O34" s="96">
        <f t="shared" si="12"/>
        <v>0</v>
      </c>
      <c r="P34" s="96">
        <f t="shared" si="13"/>
        <v>0</v>
      </c>
      <c r="Q34" s="96">
        <f t="shared" si="14"/>
        <v>0</v>
      </c>
      <c r="R34" s="96">
        <f t="shared" si="15"/>
        <v>0</v>
      </c>
      <c r="S34" s="96">
        <f t="shared" si="16"/>
        <v>0</v>
      </c>
      <c r="T34" s="97">
        <f t="shared" si="17"/>
        <v>0</v>
      </c>
      <c r="U34" s="98">
        <f t="shared" si="18"/>
        <v>222690</v>
      </c>
      <c r="V34" s="99">
        <f t="shared" si="19"/>
        <v>0</v>
      </c>
      <c r="W34" s="99">
        <f t="shared" si="20"/>
        <v>0</v>
      </c>
      <c r="X34" s="99">
        <f t="shared" si="21"/>
        <v>16760</v>
      </c>
      <c r="Y34" s="96">
        <f t="shared" si="22"/>
        <v>3786</v>
      </c>
      <c r="Z34" s="96">
        <f t="shared" si="23"/>
        <v>0</v>
      </c>
      <c r="AA34" s="96">
        <f t="shared" si="24"/>
        <v>26669</v>
      </c>
      <c r="AB34" s="96">
        <f t="shared" si="25"/>
        <v>0</v>
      </c>
      <c r="AC34" s="96">
        <f t="shared" si="26"/>
        <v>0</v>
      </c>
      <c r="AD34" s="96">
        <f t="shared" si="27"/>
        <v>0</v>
      </c>
      <c r="AE34" s="100">
        <f t="shared" si="28"/>
        <v>47215</v>
      </c>
      <c r="AF34" s="101">
        <f t="shared" si="29"/>
        <v>175475</v>
      </c>
      <c r="AG34" s="100">
        <f t="shared" si="30"/>
        <v>0</v>
      </c>
      <c r="AH34" s="96">
        <f t="shared" si="31"/>
        <v>0</v>
      </c>
    </row>
    <row r="35" spans="1:34" s="92" customFormat="1" ht="20.100000000000001" customHeight="1" x14ac:dyDescent="0.25">
      <c r="A35" s="94">
        <v>26</v>
      </c>
      <c r="B35" s="132" t="s">
        <v>201</v>
      </c>
      <c r="C35" s="94" t="str">
        <f t="shared" si="0"/>
        <v>Nepunes_Civil_Kategoria_I</v>
      </c>
      <c r="D35" s="95" t="str">
        <f t="shared" si="1"/>
        <v>I-4</v>
      </c>
      <c r="E35" s="94">
        <f t="shared" si="2"/>
        <v>22</v>
      </c>
      <c r="F35" s="96">
        <f t="shared" si="3"/>
        <v>14000</v>
      </c>
      <c r="G35" s="96">
        <f t="shared" si="4"/>
        <v>180000</v>
      </c>
      <c r="H35" s="96">
        <f t="shared" si="5"/>
        <v>0</v>
      </c>
      <c r="I35" s="96">
        <f t="shared" si="6"/>
        <v>4320</v>
      </c>
      <c r="J35" s="96">
        <f t="shared" si="7"/>
        <v>0</v>
      </c>
      <c r="K35" s="96">
        <f t="shared" si="8"/>
        <v>0</v>
      </c>
      <c r="L35" s="96">
        <f t="shared" si="9"/>
        <v>0</v>
      </c>
      <c r="M35" s="96">
        <f t="shared" si="10"/>
        <v>0</v>
      </c>
      <c r="N35" s="96">
        <f t="shared" si="11"/>
        <v>0</v>
      </c>
      <c r="O35" s="96">
        <f t="shared" si="12"/>
        <v>0</v>
      </c>
      <c r="P35" s="96">
        <f t="shared" si="13"/>
        <v>0</v>
      </c>
      <c r="Q35" s="96">
        <f t="shared" si="14"/>
        <v>0</v>
      </c>
      <c r="R35" s="96">
        <f t="shared" si="15"/>
        <v>0</v>
      </c>
      <c r="S35" s="96">
        <f t="shared" si="16"/>
        <v>0</v>
      </c>
      <c r="T35" s="97">
        <f t="shared" si="17"/>
        <v>0</v>
      </c>
      <c r="U35" s="98">
        <f t="shared" si="18"/>
        <v>198320</v>
      </c>
      <c r="V35" s="99">
        <f t="shared" si="19"/>
        <v>0</v>
      </c>
      <c r="W35" s="99">
        <f t="shared" si="20"/>
        <v>0</v>
      </c>
      <c r="X35" s="99">
        <f t="shared" si="21"/>
        <v>16760</v>
      </c>
      <c r="Y35" s="96">
        <f t="shared" si="22"/>
        <v>3371</v>
      </c>
      <c r="Z35" s="96">
        <f t="shared" si="23"/>
        <v>0</v>
      </c>
      <c r="AA35" s="96">
        <f t="shared" si="24"/>
        <v>21882</v>
      </c>
      <c r="AB35" s="96">
        <f t="shared" si="25"/>
        <v>0</v>
      </c>
      <c r="AC35" s="96">
        <f t="shared" si="26"/>
        <v>0</v>
      </c>
      <c r="AD35" s="96">
        <f t="shared" si="27"/>
        <v>0</v>
      </c>
      <c r="AE35" s="100">
        <f t="shared" si="28"/>
        <v>42013</v>
      </c>
      <c r="AF35" s="101">
        <f t="shared" si="29"/>
        <v>156307</v>
      </c>
      <c r="AG35" s="100">
        <f t="shared" si="30"/>
        <v>0</v>
      </c>
      <c r="AH35" s="96">
        <f t="shared" si="31"/>
        <v>0</v>
      </c>
    </row>
    <row r="36" spans="1:34" s="92" customFormat="1" ht="20.100000000000001" customHeight="1" x14ac:dyDescent="0.25">
      <c r="A36" s="94">
        <v>27</v>
      </c>
      <c r="B36" s="132" t="s">
        <v>202</v>
      </c>
      <c r="C36" s="94" t="str">
        <f t="shared" si="0"/>
        <v>Nepunes_Civil_Kategoria_I</v>
      </c>
      <c r="D36" s="95" t="str">
        <f t="shared" si="1"/>
        <v>I-5</v>
      </c>
      <c r="E36" s="94">
        <f t="shared" si="2"/>
        <v>22</v>
      </c>
      <c r="F36" s="96">
        <f t="shared" si="3"/>
        <v>14000</v>
      </c>
      <c r="G36" s="96">
        <f t="shared" si="4"/>
        <v>170000</v>
      </c>
      <c r="H36" s="96">
        <f t="shared" si="5"/>
        <v>0</v>
      </c>
      <c r="I36" s="96">
        <f t="shared" si="6"/>
        <v>5100</v>
      </c>
      <c r="J36" s="96">
        <f t="shared" si="7"/>
        <v>0</v>
      </c>
      <c r="K36" s="96">
        <f t="shared" si="8"/>
        <v>0</v>
      </c>
      <c r="L36" s="96">
        <f t="shared" si="9"/>
        <v>0</v>
      </c>
      <c r="M36" s="96">
        <f t="shared" si="10"/>
        <v>0</v>
      </c>
      <c r="N36" s="96">
        <f t="shared" si="11"/>
        <v>0</v>
      </c>
      <c r="O36" s="96">
        <f t="shared" si="12"/>
        <v>0</v>
      </c>
      <c r="P36" s="96">
        <f t="shared" si="13"/>
        <v>0</v>
      </c>
      <c r="Q36" s="96">
        <f t="shared" si="14"/>
        <v>0</v>
      </c>
      <c r="R36" s="96">
        <f t="shared" si="15"/>
        <v>0</v>
      </c>
      <c r="S36" s="96">
        <f t="shared" si="16"/>
        <v>0</v>
      </c>
      <c r="T36" s="97">
        <f t="shared" si="17"/>
        <v>0</v>
      </c>
      <c r="U36" s="98">
        <f t="shared" si="18"/>
        <v>189100</v>
      </c>
      <c r="V36" s="99">
        <f t="shared" si="19"/>
        <v>0</v>
      </c>
      <c r="W36" s="99">
        <f t="shared" si="20"/>
        <v>0</v>
      </c>
      <c r="X36" s="99">
        <f t="shared" si="21"/>
        <v>16760</v>
      </c>
      <c r="Y36" s="96">
        <f t="shared" si="22"/>
        <v>3215</v>
      </c>
      <c r="Z36" s="96">
        <f t="shared" si="23"/>
        <v>0</v>
      </c>
      <c r="AA36" s="96">
        <f t="shared" si="24"/>
        <v>20683</v>
      </c>
      <c r="AB36" s="96">
        <f t="shared" si="25"/>
        <v>0</v>
      </c>
      <c r="AC36" s="96">
        <f t="shared" si="26"/>
        <v>0</v>
      </c>
      <c r="AD36" s="96">
        <f t="shared" si="27"/>
        <v>0</v>
      </c>
      <c r="AE36" s="100">
        <f t="shared" si="28"/>
        <v>40658</v>
      </c>
      <c r="AF36" s="101">
        <f t="shared" si="29"/>
        <v>148442</v>
      </c>
      <c r="AG36" s="100">
        <f t="shared" si="30"/>
        <v>0</v>
      </c>
      <c r="AH36" s="96">
        <f t="shared" si="31"/>
        <v>0</v>
      </c>
    </row>
    <row r="37" spans="1:34" s="92" customFormat="1" ht="20.100000000000001" customHeight="1" x14ac:dyDescent="0.25">
      <c r="A37" s="94">
        <v>28</v>
      </c>
      <c r="B37" s="132" t="s">
        <v>203</v>
      </c>
      <c r="C37" s="94" t="str">
        <f t="shared" si="0"/>
        <v>Nepunes_Civil_Kategoria_II</v>
      </c>
      <c r="D37" s="95" t="str">
        <f t="shared" si="1"/>
        <v>II-1</v>
      </c>
      <c r="E37" s="94">
        <f t="shared" si="2"/>
        <v>22</v>
      </c>
      <c r="F37" s="96">
        <f t="shared" si="3"/>
        <v>14000</v>
      </c>
      <c r="G37" s="96">
        <f t="shared" si="4"/>
        <v>155000</v>
      </c>
      <c r="H37" s="96">
        <f t="shared" si="5"/>
        <v>0</v>
      </c>
      <c r="I37" s="96">
        <f t="shared" si="6"/>
        <v>5580</v>
      </c>
      <c r="J37" s="96">
        <f t="shared" si="7"/>
        <v>0</v>
      </c>
      <c r="K37" s="96">
        <f t="shared" si="8"/>
        <v>0</v>
      </c>
      <c r="L37" s="96">
        <f t="shared" si="9"/>
        <v>0</v>
      </c>
      <c r="M37" s="96">
        <f t="shared" si="10"/>
        <v>0</v>
      </c>
      <c r="N37" s="96">
        <f t="shared" si="11"/>
        <v>0</v>
      </c>
      <c r="O37" s="96">
        <f t="shared" si="12"/>
        <v>0</v>
      </c>
      <c r="P37" s="96">
        <f t="shared" si="13"/>
        <v>0</v>
      </c>
      <c r="Q37" s="96">
        <f t="shared" si="14"/>
        <v>0</v>
      </c>
      <c r="R37" s="96">
        <f t="shared" si="15"/>
        <v>0</v>
      </c>
      <c r="S37" s="96">
        <f t="shared" si="16"/>
        <v>0</v>
      </c>
      <c r="T37" s="97">
        <f t="shared" si="17"/>
        <v>0</v>
      </c>
      <c r="U37" s="98">
        <f t="shared" si="18"/>
        <v>174580</v>
      </c>
      <c r="V37" s="99">
        <f t="shared" si="19"/>
        <v>0</v>
      </c>
      <c r="W37" s="99">
        <f t="shared" si="20"/>
        <v>0</v>
      </c>
      <c r="X37" s="99">
        <f t="shared" si="21"/>
        <v>16585</v>
      </c>
      <c r="Y37" s="96">
        <f t="shared" si="22"/>
        <v>2968</v>
      </c>
      <c r="Z37" s="96">
        <f t="shared" si="23"/>
        <v>0</v>
      </c>
      <c r="AA37" s="96">
        <f t="shared" si="24"/>
        <v>18795</v>
      </c>
      <c r="AB37" s="96">
        <f t="shared" si="25"/>
        <v>0</v>
      </c>
      <c r="AC37" s="96">
        <f t="shared" si="26"/>
        <v>0</v>
      </c>
      <c r="AD37" s="96">
        <f t="shared" si="27"/>
        <v>0</v>
      </c>
      <c r="AE37" s="100">
        <f t="shared" si="28"/>
        <v>38348</v>
      </c>
      <c r="AF37" s="101">
        <f t="shared" si="29"/>
        <v>136232</v>
      </c>
      <c r="AG37" s="100">
        <f t="shared" si="30"/>
        <v>0</v>
      </c>
      <c r="AH37" s="96">
        <f t="shared" si="31"/>
        <v>0</v>
      </c>
    </row>
    <row r="38" spans="1:34" s="92" customFormat="1" ht="20.100000000000001" customHeight="1" x14ac:dyDescent="0.25">
      <c r="A38" s="94">
        <v>29</v>
      </c>
      <c r="B38" s="132" t="s">
        <v>204</v>
      </c>
      <c r="C38" s="94" t="str">
        <f t="shared" si="0"/>
        <v>Nepunes_Civil_Kategoria_II</v>
      </c>
      <c r="D38" s="95" t="str">
        <f t="shared" si="1"/>
        <v>II-2</v>
      </c>
      <c r="E38" s="94">
        <f t="shared" si="2"/>
        <v>22</v>
      </c>
      <c r="F38" s="96">
        <f t="shared" si="3"/>
        <v>14000</v>
      </c>
      <c r="G38" s="96">
        <f t="shared" si="4"/>
        <v>141000</v>
      </c>
      <c r="H38" s="96">
        <f t="shared" si="5"/>
        <v>0</v>
      </c>
      <c r="I38" s="96">
        <f t="shared" si="6"/>
        <v>5922</v>
      </c>
      <c r="J38" s="96">
        <f t="shared" si="7"/>
        <v>0</v>
      </c>
      <c r="K38" s="96">
        <f t="shared" si="8"/>
        <v>0</v>
      </c>
      <c r="L38" s="96">
        <f t="shared" si="9"/>
        <v>0</v>
      </c>
      <c r="M38" s="96">
        <f t="shared" si="10"/>
        <v>0</v>
      </c>
      <c r="N38" s="96">
        <f t="shared" si="11"/>
        <v>0</v>
      </c>
      <c r="O38" s="96">
        <f t="shared" si="12"/>
        <v>0</v>
      </c>
      <c r="P38" s="96">
        <f t="shared" si="13"/>
        <v>0</v>
      </c>
      <c r="Q38" s="96">
        <f t="shared" si="14"/>
        <v>0</v>
      </c>
      <c r="R38" s="96">
        <f t="shared" si="15"/>
        <v>0</v>
      </c>
      <c r="S38" s="96">
        <f t="shared" si="16"/>
        <v>0</v>
      </c>
      <c r="T38" s="97">
        <f t="shared" si="17"/>
        <v>0</v>
      </c>
      <c r="U38" s="98">
        <f t="shared" si="18"/>
        <v>160922</v>
      </c>
      <c r="V38" s="99">
        <f t="shared" si="19"/>
        <v>0</v>
      </c>
      <c r="W38" s="99">
        <f t="shared" si="20"/>
        <v>0</v>
      </c>
      <c r="X38" s="99">
        <f t="shared" si="21"/>
        <v>15288</v>
      </c>
      <c r="Y38" s="96">
        <f t="shared" si="22"/>
        <v>2736</v>
      </c>
      <c r="Z38" s="96">
        <f t="shared" si="23"/>
        <v>0</v>
      </c>
      <c r="AA38" s="96">
        <f t="shared" si="24"/>
        <v>17020</v>
      </c>
      <c r="AB38" s="96">
        <f t="shared" si="25"/>
        <v>0</v>
      </c>
      <c r="AC38" s="96">
        <f t="shared" si="26"/>
        <v>0</v>
      </c>
      <c r="AD38" s="96">
        <f t="shared" si="27"/>
        <v>0</v>
      </c>
      <c r="AE38" s="100">
        <f t="shared" si="28"/>
        <v>35044</v>
      </c>
      <c r="AF38" s="101">
        <f t="shared" si="29"/>
        <v>125878</v>
      </c>
      <c r="AG38" s="100">
        <f t="shared" si="30"/>
        <v>0</v>
      </c>
      <c r="AH38" s="96">
        <f t="shared" si="31"/>
        <v>0</v>
      </c>
    </row>
    <row r="39" spans="1:34" s="92" customFormat="1" ht="20.100000000000001" customHeight="1" x14ac:dyDescent="0.25">
      <c r="A39" s="94">
        <v>30</v>
      </c>
      <c r="B39" s="132" t="s">
        <v>205</v>
      </c>
      <c r="C39" s="94" t="str">
        <f t="shared" si="0"/>
        <v>Nepunes_Civil_Kategoria_III</v>
      </c>
      <c r="D39" s="95" t="str">
        <f t="shared" si="1"/>
        <v>III-1</v>
      </c>
      <c r="E39" s="94">
        <f t="shared" si="2"/>
        <v>22</v>
      </c>
      <c r="F39" s="96">
        <f t="shared" si="3"/>
        <v>14000</v>
      </c>
      <c r="G39" s="96">
        <f t="shared" si="4"/>
        <v>115000</v>
      </c>
      <c r="H39" s="96">
        <f t="shared" si="5"/>
        <v>0</v>
      </c>
      <c r="I39" s="96">
        <f t="shared" si="6"/>
        <v>5520</v>
      </c>
      <c r="J39" s="96">
        <f t="shared" si="7"/>
        <v>0</v>
      </c>
      <c r="K39" s="96">
        <f t="shared" si="8"/>
        <v>0</v>
      </c>
      <c r="L39" s="96">
        <f t="shared" si="9"/>
        <v>0</v>
      </c>
      <c r="M39" s="96">
        <f t="shared" si="10"/>
        <v>0</v>
      </c>
      <c r="N39" s="96">
        <f t="shared" si="11"/>
        <v>0</v>
      </c>
      <c r="O39" s="96">
        <f t="shared" si="12"/>
        <v>0</v>
      </c>
      <c r="P39" s="96">
        <f t="shared" si="13"/>
        <v>0</v>
      </c>
      <c r="Q39" s="96">
        <f t="shared" si="14"/>
        <v>0</v>
      </c>
      <c r="R39" s="96">
        <f t="shared" si="15"/>
        <v>0</v>
      </c>
      <c r="S39" s="96">
        <f t="shared" si="16"/>
        <v>0</v>
      </c>
      <c r="T39" s="97">
        <f t="shared" si="17"/>
        <v>0</v>
      </c>
      <c r="U39" s="98">
        <f t="shared" si="18"/>
        <v>134520</v>
      </c>
      <c r="V39" s="99">
        <f t="shared" si="19"/>
        <v>0</v>
      </c>
      <c r="W39" s="99">
        <f t="shared" si="20"/>
        <v>0</v>
      </c>
      <c r="X39" s="99">
        <f t="shared" si="21"/>
        <v>12779</v>
      </c>
      <c r="Y39" s="96">
        <f t="shared" si="22"/>
        <v>2287</v>
      </c>
      <c r="Z39" s="96">
        <f t="shared" si="23"/>
        <v>0</v>
      </c>
      <c r="AA39" s="96">
        <f t="shared" si="24"/>
        <v>13588</v>
      </c>
      <c r="AB39" s="96">
        <f t="shared" si="25"/>
        <v>0</v>
      </c>
      <c r="AC39" s="96">
        <f t="shared" si="26"/>
        <v>0</v>
      </c>
      <c r="AD39" s="96">
        <f t="shared" si="27"/>
        <v>0</v>
      </c>
      <c r="AE39" s="100">
        <f t="shared" si="28"/>
        <v>28654</v>
      </c>
      <c r="AF39" s="101">
        <f t="shared" si="29"/>
        <v>105866</v>
      </c>
      <c r="AG39" s="100">
        <f t="shared" si="30"/>
        <v>0</v>
      </c>
      <c r="AH39" s="96">
        <f t="shared" si="31"/>
        <v>0</v>
      </c>
    </row>
    <row r="40" spans="1:34" s="92" customFormat="1" ht="20.100000000000001" customHeight="1" x14ac:dyDescent="0.25">
      <c r="A40" s="94">
        <v>31</v>
      </c>
      <c r="B40" s="132" t="s">
        <v>206</v>
      </c>
      <c r="C40" s="94" t="str">
        <f t="shared" si="0"/>
        <v>Nepunes_Civil_Kategoria_III</v>
      </c>
      <c r="D40" s="95" t="str">
        <f t="shared" si="1"/>
        <v>III-2</v>
      </c>
      <c r="E40" s="94">
        <f t="shared" si="2"/>
        <v>22</v>
      </c>
      <c r="F40" s="96">
        <f t="shared" si="3"/>
        <v>14000</v>
      </c>
      <c r="G40" s="96">
        <f t="shared" si="4"/>
        <v>105000</v>
      </c>
      <c r="H40" s="96">
        <f t="shared" si="5"/>
        <v>0</v>
      </c>
      <c r="I40" s="96">
        <f t="shared" si="6"/>
        <v>5670</v>
      </c>
      <c r="J40" s="96">
        <f t="shared" si="7"/>
        <v>0</v>
      </c>
      <c r="K40" s="96">
        <f t="shared" si="8"/>
        <v>0</v>
      </c>
      <c r="L40" s="96">
        <f t="shared" si="9"/>
        <v>0</v>
      </c>
      <c r="M40" s="96">
        <f t="shared" si="10"/>
        <v>0</v>
      </c>
      <c r="N40" s="96">
        <f t="shared" si="11"/>
        <v>0</v>
      </c>
      <c r="O40" s="96">
        <f t="shared" si="12"/>
        <v>0</v>
      </c>
      <c r="P40" s="96">
        <f t="shared" si="13"/>
        <v>0</v>
      </c>
      <c r="Q40" s="96">
        <f t="shared" si="14"/>
        <v>0</v>
      </c>
      <c r="R40" s="96">
        <f t="shared" si="15"/>
        <v>0</v>
      </c>
      <c r="S40" s="96">
        <f t="shared" si="16"/>
        <v>0</v>
      </c>
      <c r="T40" s="97">
        <f t="shared" si="17"/>
        <v>0</v>
      </c>
      <c r="U40" s="98">
        <f t="shared" si="18"/>
        <v>124670</v>
      </c>
      <c r="V40" s="99">
        <f t="shared" si="19"/>
        <v>0</v>
      </c>
      <c r="W40" s="99">
        <f t="shared" si="20"/>
        <v>0</v>
      </c>
      <c r="X40" s="99">
        <f t="shared" si="21"/>
        <v>11844</v>
      </c>
      <c r="Y40" s="96">
        <f t="shared" si="22"/>
        <v>2119</v>
      </c>
      <c r="Z40" s="96">
        <f t="shared" si="23"/>
        <v>0</v>
      </c>
      <c r="AA40" s="96">
        <f t="shared" si="24"/>
        <v>12307</v>
      </c>
      <c r="AB40" s="96">
        <f t="shared" si="25"/>
        <v>0</v>
      </c>
      <c r="AC40" s="96">
        <f t="shared" si="26"/>
        <v>0</v>
      </c>
      <c r="AD40" s="96">
        <f t="shared" si="27"/>
        <v>0</v>
      </c>
      <c r="AE40" s="100">
        <f t="shared" si="28"/>
        <v>26270</v>
      </c>
      <c r="AF40" s="101">
        <f t="shared" si="29"/>
        <v>98400</v>
      </c>
      <c r="AG40" s="100">
        <f t="shared" si="30"/>
        <v>0</v>
      </c>
      <c r="AH40" s="96">
        <f t="shared" si="31"/>
        <v>0</v>
      </c>
    </row>
    <row r="41" spans="1:34" s="92" customFormat="1" ht="20.100000000000001" customHeight="1" x14ac:dyDescent="0.25">
      <c r="A41" s="94">
        <v>32</v>
      </c>
      <c r="B41" s="132" t="s">
        <v>207</v>
      </c>
      <c r="C41" s="94" t="str">
        <f t="shared" si="0"/>
        <v>Nepunes_Civil_Kategoria_III</v>
      </c>
      <c r="D41" s="95" t="str">
        <f t="shared" si="1"/>
        <v>III-3</v>
      </c>
      <c r="E41" s="94">
        <f t="shared" si="2"/>
        <v>22</v>
      </c>
      <c r="F41" s="96">
        <f t="shared" si="3"/>
        <v>14000</v>
      </c>
      <c r="G41" s="96">
        <f t="shared" si="4"/>
        <v>98000</v>
      </c>
      <c r="H41" s="96">
        <f t="shared" si="5"/>
        <v>0</v>
      </c>
      <c r="I41" s="96">
        <f t="shared" si="6"/>
        <v>5880</v>
      </c>
      <c r="J41" s="96">
        <f t="shared" si="7"/>
        <v>0</v>
      </c>
      <c r="K41" s="96">
        <f t="shared" si="8"/>
        <v>0</v>
      </c>
      <c r="L41" s="96">
        <f t="shared" si="9"/>
        <v>0</v>
      </c>
      <c r="M41" s="96">
        <f t="shared" si="10"/>
        <v>0</v>
      </c>
      <c r="N41" s="96">
        <f t="shared" si="11"/>
        <v>0</v>
      </c>
      <c r="O41" s="96">
        <f t="shared" si="12"/>
        <v>0</v>
      </c>
      <c r="P41" s="96">
        <f t="shared" si="13"/>
        <v>0</v>
      </c>
      <c r="Q41" s="96">
        <f t="shared" si="14"/>
        <v>0</v>
      </c>
      <c r="R41" s="96">
        <f t="shared" si="15"/>
        <v>0</v>
      </c>
      <c r="S41" s="96">
        <f t="shared" si="16"/>
        <v>0</v>
      </c>
      <c r="T41" s="97">
        <f t="shared" si="17"/>
        <v>0</v>
      </c>
      <c r="U41" s="98">
        <f t="shared" si="18"/>
        <v>117880</v>
      </c>
      <c r="V41" s="99">
        <f t="shared" si="19"/>
        <v>0</v>
      </c>
      <c r="W41" s="99">
        <f t="shared" si="20"/>
        <v>0</v>
      </c>
      <c r="X41" s="99">
        <f t="shared" si="21"/>
        <v>11199</v>
      </c>
      <c r="Y41" s="96">
        <f t="shared" si="22"/>
        <v>2004</v>
      </c>
      <c r="Z41" s="96">
        <f t="shared" si="23"/>
        <v>0</v>
      </c>
      <c r="AA41" s="96">
        <f t="shared" si="24"/>
        <v>11424</v>
      </c>
      <c r="AB41" s="96">
        <f t="shared" si="25"/>
        <v>0</v>
      </c>
      <c r="AC41" s="96">
        <f t="shared" si="26"/>
        <v>0</v>
      </c>
      <c r="AD41" s="96">
        <f t="shared" si="27"/>
        <v>0</v>
      </c>
      <c r="AE41" s="100">
        <f t="shared" si="28"/>
        <v>24627</v>
      </c>
      <c r="AF41" s="101">
        <f t="shared" si="29"/>
        <v>93253</v>
      </c>
      <c r="AG41" s="100">
        <f t="shared" si="30"/>
        <v>0</v>
      </c>
      <c r="AH41" s="96">
        <f t="shared" si="31"/>
        <v>0</v>
      </c>
    </row>
    <row r="42" spans="1:34" s="92" customFormat="1" ht="20.100000000000001" customHeight="1" x14ac:dyDescent="0.25">
      <c r="A42" s="94">
        <v>33</v>
      </c>
      <c r="B42" s="132" t="s">
        <v>208</v>
      </c>
      <c r="C42" s="94" t="str">
        <f t="shared" ref="C42:C73" si="32">VLOOKUP($B42,llog_organike,4,FALSE)</f>
        <v>Nepunes_Civil_Kategoria_IV</v>
      </c>
      <c r="D42" s="95" t="str">
        <f t="shared" ref="D42:D73" si="33">VLOOKUP($B42,llog_organike,5,FALSE)</f>
        <v>IV-1</v>
      </c>
      <c r="E42" s="94">
        <f t="shared" ref="E42:E73" si="34">VLOOKUP($B42,llog_organike,6,FALSE)</f>
        <v>22</v>
      </c>
      <c r="F42" s="96">
        <f t="shared" ref="F42:F73" si="35">VLOOKUP($B42,llog_organike,10,FALSE)</f>
        <v>14000</v>
      </c>
      <c r="G42" s="96">
        <f t="shared" ref="G42:G73" si="36">VLOOKUP($B42,llog_organike,13,FALSE)</f>
        <v>90000</v>
      </c>
      <c r="H42" s="96">
        <f t="shared" ref="H42:H73" si="37">VLOOKUP($B42,llog_organike,15,FALSE)</f>
        <v>0</v>
      </c>
      <c r="I42" s="96">
        <f t="shared" ref="I42:I73" si="38">VLOOKUP($B42,llog_organike,19,FALSE)</f>
        <v>6120</v>
      </c>
      <c r="J42" s="96">
        <f t="shared" ref="J42:J73" si="39">VLOOKUP($B42,llog_organike,21,FALSE)</f>
        <v>0</v>
      </c>
      <c r="K42" s="96">
        <f t="shared" ref="K42:K73" si="40">VLOOKUP($B42,llog_organike,23,FALSE)</f>
        <v>0</v>
      </c>
      <c r="L42" s="96">
        <f t="shared" ref="L42:L73" si="41">VLOOKUP($B42,llog_organike,25,FALSE)</f>
        <v>0</v>
      </c>
      <c r="M42" s="96">
        <f t="shared" ref="M42:M73" si="42">VLOOKUP($B42,llog_organike,27,FALSE)</f>
        <v>0</v>
      </c>
      <c r="N42" s="96">
        <f t="shared" ref="N42:N73" si="43">VLOOKUP($B42,llog_organike,29,FALSE)</f>
        <v>0</v>
      </c>
      <c r="O42" s="96">
        <f t="shared" ref="O42:O73" si="44">VLOOKUP($B42,llog_organike,30,FALSE)</f>
        <v>0</v>
      </c>
      <c r="P42" s="96">
        <f t="shared" ref="P42:P73" si="45">VLOOKUP($B42,llog_organike,31,FALSE)</f>
        <v>0</v>
      </c>
      <c r="Q42" s="96">
        <f t="shared" ref="Q42:Q73" si="46">VLOOKUP($B42,llog_organike,32,FALSE)</f>
        <v>0</v>
      </c>
      <c r="R42" s="96">
        <f t="shared" ref="R42:R73" si="47">VLOOKUP($B42,llog_organike,33,FALSE)</f>
        <v>0</v>
      </c>
      <c r="S42" s="96">
        <f t="shared" ref="S42:S73" si="48">VLOOKUP($B42,llog_organike,34,FALSE)</f>
        <v>0</v>
      </c>
      <c r="T42" s="97">
        <f t="shared" ref="T42:T73" si="49">VLOOKUP($B42,llog_organike,35,FALSE)</f>
        <v>0</v>
      </c>
      <c r="U42" s="98">
        <f t="shared" ref="U42:U73" si="50">VLOOKUP($B42,llog_organike,36,FALSE)</f>
        <v>110120</v>
      </c>
      <c r="V42" s="99">
        <f t="shared" ref="V42:V73" si="51">VLOOKUP($B42,llog_organike,37,FALSE)</f>
        <v>0</v>
      </c>
      <c r="W42" s="99">
        <f t="shared" ref="W42:W73" si="52">VLOOKUP($B42,llog_organike,38,FALSE)</f>
        <v>0</v>
      </c>
      <c r="X42" s="99">
        <f t="shared" ref="X42:X73" si="53">VLOOKUP($B42,llog_organike,39,FALSE)</f>
        <v>10461</v>
      </c>
      <c r="Y42" s="96">
        <f t="shared" ref="Y42:Y73" si="54">VLOOKUP($B42,llog_organike,40,FALSE)</f>
        <v>1872</v>
      </c>
      <c r="Z42" s="96">
        <f t="shared" ref="Z42:Z73" si="55">VLOOKUP($B42,llog_organike,42,FALSE)</f>
        <v>0</v>
      </c>
      <c r="AA42" s="96">
        <f t="shared" ref="AA42:AA73" si="56">VLOOKUP($B42,llog_organike,43,FALSE)</f>
        <v>10416</v>
      </c>
      <c r="AB42" s="96">
        <f t="shared" ref="AB42:AB73" si="57">VLOOKUP($B42,llog_organike,44,FALSE)</f>
        <v>0</v>
      </c>
      <c r="AC42" s="96">
        <f t="shared" ref="AC42:AC73" si="58">VLOOKUP($B42,llog_organike,45,FALSE)</f>
        <v>0</v>
      </c>
      <c r="AD42" s="96">
        <f t="shared" ref="AD42:AD73" si="59">VLOOKUP($B42,llog_organike,46,FALSE)</f>
        <v>0</v>
      </c>
      <c r="AE42" s="100">
        <f t="shared" ref="AE42:AE73" si="60">VLOOKUP($B42,llog_organike,47,FALSE)</f>
        <v>22749</v>
      </c>
      <c r="AF42" s="101">
        <f t="shared" ref="AF42:AF73" si="61">VLOOKUP($B42,llog_organike,48,FALSE)</f>
        <v>87371</v>
      </c>
      <c r="AG42" s="100">
        <f t="shared" ref="AG42:AG73" si="62">VLOOKUP($B42,llog_organike,49,FALSE)</f>
        <v>0</v>
      </c>
      <c r="AH42" s="96">
        <f t="shared" ref="AH42:AH73" si="63">VLOOKUP($B42,llog_organike,50,FALSE)</f>
        <v>0</v>
      </c>
    </row>
    <row r="43" spans="1:34" s="92" customFormat="1" ht="20.100000000000001" customHeight="1" x14ac:dyDescent="0.25">
      <c r="A43" s="94">
        <v>34</v>
      </c>
      <c r="B43" s="132" t="s">
        <v>209</v>
      </c>
      <c r="C43" s="94" t="str">
        <f t="shared" si="32"/>
        <v>Nepunes_Civil_Kategoria_IV</v>
      </c>
      <c r="D43" s="95" t="str">
        <f t="shared" si="33"/>
        <v>IV-2</v>
      </c>
      <c r="E43" s="94">
        <f t="shared" si="34"/>
        <v>22</v>
      </c>
      <c r="F43" s="96">
        <f t="shared" si="35"/>
        <v>14000</v>
      </c>
      <c r="G43" s="96">
        <f t="shared" si="36"/>
        <v>80000</v>
      </c>
      <c r="H43" s="96">
        <f t="shared" si="37"/>
        <v>0</v>
      </c>
      <c r="I43" s="96">
        <f t="shared" si="38"/>
        <v>6080</v>
      </c>
      <c r="J43" s="96">
        <f t="shared" si="39"/>
        <v>0</v>
      </c>
      <c r="K43" s="96">
        <f t="shared" si="40"/>
        <v>0</v>
      </c>
      <c r="L43" s="96">
        <f t="shared" si="41"/>
        <v>0</v>
      </c>
      <c r="M43" s="96">
        <f t="shared" si="42"/>
        <v>0</v>
      </c>
      <c r="N43" s="96">
        <f t="shared" si="43"/>
        <v>0</v>
      </c>
      <c r="O43" s="96">
        <f t="shared" si="44"/>
        <v>0</v>
      </c>
      <c r="P43" s="96">
        <f t="shared" si="45"/>
        <v>0</v>
      </c>
      <c r="Q43" s="96">
        <f t="shared" si="46"/>
        <v>0</v>
      </c>
      <c r="R43" s="96">
        <f t="shared" si="47"/>
        <v>0</v>
      </c>
      <c r="S43" s="96">
        <f t="shared" si="48"/>
        <v>0</v>
      </c>
      <c r="T43" s="97">
        <f t="shared" si="49"/>
        <v>0</v>
      </c>
      <c r="U43" s="98">
        <f t="shared" si="50"/>
        <v>100080</v>
      </c>
      <c r="V43" s="99">
        <f t="shared" si="51"/>
        <v>0</v>
      </c>
      <c r="W43" s="99">
        <f t="shared" si="52"/>
        <v>0</v>
      </c>
      <c r="X43" s="99">
        <f t="shared" si="53"/>
        <v>9508</v>
      </c>
      <c r="Y43" s="96">
        <f t="shared" si="54"/>
        <v>1701</v>
      </c>
      <c r="Z43" s="96">
        <f t="shared" si="55"/>
        <v>0</v>
      </c>
      <c r="AA43" s="96">
        <f t="shared" si="56"/>
        <v>9110</v>
      </c>
      <c r="AB43" s="96">
        <f t="shared" si="57"/>
        <v>0</v>
      </c>
      <c r="AC43" s="96">
        <f t="shared" si="58"/>
        <v>0</v>
      </c>
      <c r="AD43" s="96">
        <f t="shared" si="59"/>
        <v>0</v>
      </c>
      <c r="AE43" s="100">
        <f t="shared" si="60"/>
        <v>20319</v>
      </c>
      <c r="AF43" s="101">
        <f t="shared" si="61"/>
        <v>79761</v>
      </c>
      <c r="AG43" s="100">
        <f t="shared" si="62"/>
        <v>0</v>
      </c>
      <c r="AH43" s="96">
        <f t="shared" si="63"/>
        <v>0</v>
      </c>
    </row>
    <row r="44" spans="1:34" s="92" customFormat="1" ht="20.100000000000001" customHeight="1" x14ac:dyDescent="0.25">
      <c r="A44" s="94">
        <v>35</v>
      </c>
      <c r="B44" s="132" t="s">
        <v>210</v>
      </c>
      <c r="C44" s="94" t="str">
        <f t="shared" si="32"/>
        <v>Nepunes_Civil_Kategoria_IV</v>
      </c>
      <c r="D44" s="95" t="str">
        <f t="shared" si="33"/>
        <v>IV-3</v>
      </c>
      <c r="E44" s="94">
        <f t="shared" si="34"/>
        <v>22</v>
      </c>
      <c r="F44" s="96">
        <f t="shared" si="35"/>
        <v>14000</v>
      </c>
      <c r="G44" s="96">
        <f t="shared" si="36"/>
        <v>70000</v>
      </c>
      <c r="H44" s="96">
        <f t="shared" si="37"/>
        <v>0</v>
      </c>
      <c r="I44" s="96">
        <f t="shared" si="38"/>
        <v>5880</v>
      </c>
      <c r="J44" s="96">
        <f t="shared" si="39"/>
        <v>0</v>
      </c>
      <c r="K44" s="96">
        <f t="shared" si="40"/>
        <v>0</v>
      </c>
      <c r="L44" s="96">
        <f t="shared" si="41"/>
        <v>0</v>
      </c>
      <c r="M44" s="96">
        <f t="shared" si="42"/>
        <v>0</v>
      </c>
      <c r="N44" s="96">
        <f t="shared" si="43"/>
        <v>0</v>
      </c>
      <c r="O44" s="96">
        <f t="shared" si="44"/>
        <v>0</v>
      </c>
      <c r="P44" s="96">
        <f t="shared" si="45"/>
        <v>0</v>
      </c>
      <c r="Q44" s="96">
        <f t="shared" si="46"/>
        <v>0</v>
      </c>
      <c r="R44" s="96">
        <f t="shared" si="47"/>
        <v>0</v>
      </c>
      <c r="S44" s="96">
        <f t="shared" si="48"/>
        <v>0</v>
      </c>
      <c r="T44" s="97">
        <f t="shared" si="49"/>
        <v>0</v>
      </c>
      <c r="U44" s="98">
        <f t="shared" si="50"/>
        <v>89880</v>
      </c>
      <c r="V44" s="99">
        <f t="shared" si="51"/>
        <v>0</v>
      </c>
      <c r="W44" s="99">
        <f t="shared" si="52"/>
        <v>0</v>
      </c>
      <c r="X44" s="99">
        <f t="shared" si="53"/>
        <v>8539</v>
      </c>
      <c r="Y44" s="96">
        <f t="shared" si="54"/>
        <v>1528</v>
      </c>
      <c r="Z44" s="96">
        <f t="shared" si="55"/>
        <v>0</v>
      </c>
      <c r="AA44" s="96">
        <f t="shared" si="56"/>
        <v>7784</v>
      </c>
      <c r="AB44" s="96">
        <f t="shared" si="57"/>
        <v>0</v>
      </c>
      <c r="AC44" s="96">
        <f t="shared" si="58"/>
        <v>0</v>
      </c>
      <c r="AD44" s="96">
        <f t="shared" si="59"/>
        <v>0</v>
      </c>
      <c r="AE44" s="100">
        <f t="shared" si="60"/>
        <v>17851</v>
      </c>
      <c r="AF44" s="101">
        <f t="shared" si="61"/>
        <v>72029</v>
      </c>
      <c r="AG44" s="100">
        <f t="shared" si="62"/>
        <v>0</v>
      </c>
      <c r="AH44" s="96">
        <f t="shared" si="63"/>
        <v>0</v>
      </c>
    </row>
    <row r="45" spans="1:34" s="92" customFormat="1" ht="20.100000000000001" customHeight="1" x14ac:dyDescent="0.25">
      <c r="A45" s="94">
        <v>36</v>
      </c>
      <c r="B45" s="132" t="s">
        <v>211</v>
      </c>
      <c r="C45" s="94" t="str">
        <f t="shared" si="32"/>
        <v>Nepunes_Civil_Kategoria_IV</v>
      </c>
      <c r="D45" s="95" t="str">
        <f t="shared" si="33"/>
        <v>IV-4</v>
      </c>
      <c r="E45" s="94">
        <f t="shared" si="34"/>
        <v>22</v>
      </c>
      <c r="F45" s="96">
        <f t="shared" si="35"/>
        <v>14000</v>
      </c>
      <c r="G45" s="96">
        <f t="shared" si="36"/>
        <v>60000</v>
      </c>
      <c r="H45" s="96">
        <f t="shared" si="37"/>
        <v>0</v>
      </c>
      <c r="I45" s="96">
        <f t="shared" si="38"/>
        <v>5520</v>
      </c>
      <c r="J45" s="96">
        <f t="shared" si="39"/>
        <v>0</v>
      </c>
      <c r="K45" s="96">
        <f t="shared" si="40"/>
        <v>0</v>
      </c>
      <c r="L45" s="96">
        <f t="shared" si="41"/>
        <v>0</v>
      </c>
      <c r="M45" s="96">
        <f t="shared" si="42"/>
        <v>0</v>
      </c>
      <c r="N45" s="96">
        <f t="shared" si="43"/>
        <v>0</v>
      </c>
      <c r="O45" s="96">
        <f t="shared" si="44"/>
        <v>0</v>
      </c>
      <c r="P45" s="96">
        <f t="shared" si="45"/>
        <v>0</v>
      </c>
      <c r="Q45" s="96">
        <f t="shared" si="46"/>
        <v>0</v>
      </c>
      <c r="R45" s="96">
        <f t="shared" si="47"/>
        <v>0</v>
      </c>
      <c r="S45" s="96">
        <f t="shared" si="48"/>
        <v>0</v>
      </c>
      <c r="T45" s="97">
        <f t="shared" si="49"/>
        <v>0</v>
      </c>
      <c r="U45" s="98">
        <f t="shared" si="50"/>
        <v>79520</v>
      </c>
      <c r="V45" s="99">
        <f t="shared" si="51"/>
        <v>0</v>
      </c>
      <c r="W45" s="99">
        <f t="shared" si="52"/>
        <v>0</v>
      </c>
      <c r="X45" s="99">
        <f t="shared" si="53"/>
        <v>7554</v>
      </c>
      <c r="Y45" s="96">
        <f t="shared" si="54"/>
        <v>1352</v>
      </c>
      <c r="Z45" s="96">
        <f t="shared" si="55"/>
        <v>0</v>
      </c>
      <c r="AA45" s="96">
        <f t="shared" si="56"/>
        <v>6438</v>
      </c>
      <c r="AB45" s="96">
        <f t="shared" si="57"/>
        <v>0</v>
      </c>
      <c r="AC45" s="96">
        <f t="shared" si="58"/>
        <v>0</v>
      </c>
      <c r="AD45" s="96">
        <f t="shared" si="59"/>
        <v>0</v>
      </c>
      <c r="AE45" s="100">
        <f t="shared" si="60"/>
        <v>15344</v>
      </c>
      <c r="AF45" s="101">
        <f t="shared" si="61"/>
        <v>64176</v>
      </c>
      <c r="AG45" s="100">
        <f t="shared" si="62"/>
        <v>0</v>
      </c>
      <c r="AH45" s="96">
        <f t="shared" si="63"/>
        <v>0</v>
      </c>
    </row>
    <row r="46" spans="1:34" s="92" customFormat="1" ht="20.100000000000001" customHeight="1" x14ac:dyDescent="0.25">
      <c r="A46" s="94">
        <v>37</v>
      </c>
      <c r="B46" s="132" t="s">
        <v>212</v>
      </c>
      <c r="C46" s="94" t="str">
        <f t="shared" si="32"/>
        <v xml:space="preserve">Drejtor i kabinetit të Presidentit. </v>
      </c>
      <c r="D46" s="95" t="str">
        <f t="shared" si="33"/>
        <v>I-1</v>
      </c>
      <c r="E46" s="94">
        <f t="shared" si="34"/>
        <v>22</v>
      </c>
      <c r="F46" s="96">
        <f t="shared" si="35"/>
        <v>14000</v>
      </c>
      <c r="G46" s="96">
        <f t="shared" si="36"/>
        <v>235000</v>
      </c>
      <c r="H46" s="96">
        <f t="shared" si="37"/>
        <v>0</v>
      </c>
      <c r="I46" s="96">
        <f t="shared" si="38"/>
        <v>1410</v>
      </c>
      <c r="J46" s="96">
        <f t="shared" si="39"/>
        <v>0</v>
      </c>
      <c r="K46" s="96">
        <f t="shared" si="40"/>
        <v>0</v>
      </c>
      <c r="L46" s="96">
        <f t="shared" si="41"/>
        <v>0</v>
      </c>
      <c r="M46" s="96">
        <f t="shared" si="42"/>
        <v>0</v>
      </c>
      <c r="N46" s="96">
        <f t="shared" si="43"/>
        <v>0</v>
      </c>
      <c r="O46" s="96">
        <f t="shared" si="44"/>
        <v>0</v>
      </c>
      <c r="P46" s="96">
        <f t="shared" si="45"/>
        <v>0</v>
      </c>
      <c r="Q46" s="96">
        <f t="shared" si="46"/>
        <v>0</v>
      </c>
      <c r="R46" s="96">
        <f t="shared" si="47"/>
        <v>0</v>
      </c>
      <c r="S46" s="96">
        <f t="shared" si="48"/>
        <v>0</v>
      </c>
      <c r="T46" s="97">
        <f t="shared" si="49"/>
        <v>0</v>
      </c>
      <c r="U46" s="98">
        <f t="shared" si="50"/>
        <v>250410</v>
      </c>
      <c r="V46" s="99">
        <f t="shared" si="51"/>
        <v>0</v>
      </c>
      <c r="W46" s="99">
        <f t="shared" si="52"/>
        <v>0</v>
      </c>
      <c r="X46" s="99">
        <f t="shared" si="53"/>
        <v>16760</v>
      </c>
      <c r="Y46" s="96">
        <f t="shared" si="54"/>
        <v>4257</v>
      </c>
      <c r="Z46" s="96">
        <f t="shared" si="55"/>
        <v>0</v>
      </c>
      <c r="AA46" s="96">
        <f t="shared" si="56"/>
        <v>33044</v>
      </c>
      <c r="AB46" s="96">
        <f t="shared" si="57"/>
        <v>0</v>
      </c>
      <c r="AC46" s="96">
        <f t="shared" si="58"/>
        <v>0</v>
      </c>
      <c r="AD46" s="96">
        <f t="shared" si="59"/>
        <v>0</v>
      </c>
      <c r="AE46" s="100">
        <f t="shared" si="60"/>
        <v>54061</v>
      </c>
      <c r="AF46" s="101">
        <f t="shared" si="61"/>
        <v>196349</v>
      </c>
      <c r="AG46" s="100">
        <f t="shared" si="62"/>
        <v>0</v>
      </c>
      <c r="AH46" s="96">
        <f t="shared" si="63"/>
        <v>0</v>
      </c>
    </row>
    <row r="47" spans="1:34" s="92" customFormat="1" ht="20.100000000000001" customHeight="1" x14ac:dyDescent="0.25">
      <c r="A47" s="94">
        <v>38</v>
      </c>
      <c r="B47" s="132" t="s">
        <v>213</v>
      </c>
      <c r="C47" s="94" t="str">
        <f t="shared" si="32"/>
        <v xml:space="preserve">Drejtor i kabinetit të Kryeministrit. </v>
      </c>
      <c r="D47" s="95" t="str">
        <f t="shared" si="33"/>
        <v>I-1</v>
      </c>
      <c r="E47" s="94">
        <f t="shared" si="34"/>
        <v>22</v>
      </c>
      <c r="F47" s="96">
        <f t="shared" si="35"/>
        <v>14000</v>
      </c>
      <c r="G47" s="96">
        <f t="shared" si="36"/>
        <v>235000</v>
      </c>
      <c r="H47" s="96">
        <f t="shared" si="37"/>
        <v>0</v>
      </c>
      <c r="I47" s="96">
        <f t="shared" si="38"/>
        <v>2820</v>
      </c>
      <c r="J47" s="96">
        <f t="shared" si="39"/>
        <v>0</v>
      </c>
      <c r="K47" s="96">
        <f t="shared" si="40"/>
        <v>0</v>
      </c>
      <c r="L47" s="96">
        <f t="shared" si="41"/>
        <v>0</v>
      </c>
      <c r="M47" s="96">
        <f t="shared" si="42"/>
        <v>0</v>
      </c>
      <c r="N47" s="96">
        <f t="shared" si="43"/>
        <v>0</v>
      </c>
      <c r="O47" s="96">
        <f t="shared" si="44"/>
        <v>0</v>
      </c>
      <c r="P47" s="96">
        <f t="shared" si="45"/>
        <v>0</v>
      </c>
      <c r="Q47" s="96">
        <f t="shared" si="46"/>
        <v>0</v>
      </c>
      <c r="R47" s="96">
        <f t="shared" si="47"/>
        <v>0</v>
      </c>
      <c r="S47" s="96">
        <f t="shared" si="48"/>
        <v>0</v>
      </c>
      <c r="T47" s="97">
        <f t="shared" si="49"/>
        <v>0</v>
      </c>
      <c r="U47" s="98">
        <f t="shared" si="50"/>
        <v>251820</v>
      </c>
      <c r="V47" s="99">
        <f t="shared" si="51"/>
        <v>0</v>
      </c>
      <c r="W47" s="99">
        <f t="shared" si="52"/>
        <v>0</v>
      </c>
      <c r="X47" s="99">
        <f t="shared" si="53"/>
        <v>16760</v>
      </c>
      <c r="Y47" s="96">
        <f t="shared" si="54"/>
        <v>4281</v>
      </c>
      <c r="Z47" s="96">
        <f t="shared" si="55"/>
        <v>0</v>
      </c>
      <c r="AA47" s="96">
        <f t="shared" si="56"/>
        <v>33369</v>
      </c>
      <c r="AB47" s="96">
        <f t="shared" si="57"/>
        <v>0</v>
      </c>
      <c r="AC47" s="96">
        <f t="shared" si="58"/>
        <v>0</v>
      </c>
      <c r="AD47" s="96">
        <f t="shared" si="59"/>
        <v>0</v>
      </c>
      <c r="AE47" s="100">
        <f t="shared" si="60"/>
        <v>54410</v>
      </c>
      <c r="AF47" s="101">
        <f t="shared" si="61"/>
        <v>197410</v>
      </c>
      <c r="AG47" s="100">
        <f t="shared" si="62"/>
        <v>0</v>
      </c>
      <c r="AH47" s="96">
        <f t="shared" si="63"/>
        <v>0</v>
      </c>
    </row>
    <row r="48" spans="1:34" s="92" customFormat="1" ht="20.100000000000001" customHeight="1" x14ac:dyDescent="0.25">
      <c r="A48" s="94">
        <v>39</v>
      </c>
      <c r="B48" s="132" t="s">
        <v>214</v>
      </c>
      <c r="C48" s="94" t="str">
        <f t="shared" si="32"/>
        <v xml:space="preserve">Drejtor i kabinetit të Kryetarit të Kuvendit. </v>
      </c>
      <c r="D48" s="95" t="str">
        <f t="shared" si="33"/>
        <v>I-1</v>
      </c>
      <c r="E48" s="94">
        <f t="shared" si="34"/>
        <v>22</v>
      </c>
      <c r="F48" s="96">
        <f t="shared" si="35"/>
        <v>14000</v>
      </c>
      <c r="G48" s="96">
        <f t="shared" si="36"/>
        <v>235000</v>
      </c>
      <c r="H48" s="96">
        <f t="shared" si="37"/>
        <v>0</v>
      </c>
      <c r="I48" s="96">
        <f t="shared" si="38"/>
        <v>4230</v>
      </c>
      <c r="J48" s="96">
        <f t="shared" si="39"/>
        <v>0</v>
      </c>
      <c r="K48" s="96">
        <f t="shared" si="40"/>
        <v>0</v>
      </c>
      <c r="L48" s="96">
        <f t="shared" si="41"/>
        <v>0</v>
      </c>
      <c r="M48" s="96">
        <f t="shared" si="42"/>
        <v>0</v>
      </c>
      <c r="N48" s="96">
        <f t="shared" si="43"/>
        <v>0</v>
      </c>
      <c r="O48" s="96">
        <f t="shared" si="44"/>
        <v>0</v>
      </c>
      <c r="P48" s="96">
        <f t="shared" si="45"/>
        <v>0</v>
      </c>
      <c r="Q48" s="96">
        <f t="shared" si="46"/>
        <v>0</v>
      </c>
      <c r="R48" s="96">
        <f t="shared" si="47"/>
        <v>0</v>
      </c>
      <c r="S48" s="96">
        <f t="shared" si="48"/>
        <v>0</v>
      </c>
      <c r="T48" s="97">
        <f t="shared" si="49"/>
        <v>0</v>
      </c>
      <c r="U48" s="98">
        <f t="shared" si="50"/>
        <v>253230</v>
      </c>
      <c r="V48" s="99">
        <f t="shared" si="51"/>
        <v>0</v>
      </c>
      <c r="W48" s="99">
        <f t="shared" si="52"/>
        <v>0</v>
      </c>
      <c r="X48" s="99">
        <f t="shared" si="53"/>
        <v>16760</v>
      </c>
      <c r="Y48" s="96">
        <f t="shared" si="54"/>
        <v>4305</v>
      </c>
      <c r="Z48" s="96">
        <f t="shared" si="55"/>
        <v>0</v>
      </c>
      <c r="AA48" s="96">
        <f t="shared" si="56"/>
        <v>33693</v>
      </c>
      <c r="AB48" s="96">
        <f t="shared" si="57"/>
        <v>0</v>
      </c>
      <c r="AC48" s="96">
        <f t="shared" si="58"/>
        <v>0</v>
      </c>
      <c r="AD48" s="96">
        <f t="shared" si="59"/>
        <v>0</v>
      </c>
      <c r="AE48" s="100">
        <f t="shared" si="60"/>
        <v>54758</v>
      </c>
      <c r="AF48" s="101">
        <f t="shared" si="61"/>
        <v>198472</v>
      </c>
      <c r="AG48" s="100">
        <f t="shared" si="62"/>
        <v>0</v>
      </c>
      <c r="AH48" s="96">
        <f t="shared" si="63"/>
        <v>0</v>
      </c>
    </row>
    <row r="49" spans="1:34" s="92" customFormat="1" ht="20.100000000000001" customHeight="1" x14ac:dyDescent="0.25">
      <c r="A49" s="94">
        <v>40</v>
      </c>
      <c r="B49" s="132" t="s">
        <v>215</v>
      </c>
      <c r="C49" s="94" t="str">
        <f t="shared" si="32"/>
        <v xml:space="preserve">Drejtor i Kabinetit të Prokurorit të Përgjithshëm. </v>
      </c>
      <c r="D49" s="95" t="str">
        <f t="shared" si="33"/>
        <v>I-1</v>
      </c>
      <c r="E49" s="94">
        <f t="shared" si="34"/>
        <v>22</v>
      </c>
      <c r="F49" s="96">
        <f t="shared" si="35"/>
        <v>14000</v>
      </c>
      <c r="G49" s="96">
        <f t="shared" si="36"/>
        <v>235000</v>
      </c>
      <c r="H49" s="96">
        <f t="shared" si="37"/>
        <v>0</v>
      </c>
      <c r="I49" s="96">
        <f t="shared" si="38"/>
        <v>5640</v>
      </c>
      <c r="J49" s="96">
        <f t="shared" si="39"/>
        <v>0</v>
      </c>
      <c r="K49" s="96">
        <f t="shared" si="40"/>
        <v>0</v>
      </c>
      <c r="L49" s="96">
        <f t="shared" si="41"/>
        <v>0</v>
      </c>
      <c r="M49" s="96">
        <f t="shared" si="42"/>
        <v>0</v>
      </c>
      <c r="N49" s="96">
        <f t="shared" si="43"/>
        <v>0</v>
      </c>
      <c r="O49" s="96">
        <f t="shared" si="44"/>
        <v>0</v>
      </c>
      <c r="P49" s="96">
        <f t="shared" si="45"/>
        <v>0</v>
      </c>
      <c r="Q49" s="96">
        <f t="shared" si="46"/>
        <v>0</v>
      </c>
      <c r="R49" s="96">
        <f t="shared" si="47"/>
        <v>0</v>
      </c>
      <c r="S49" s="96">
        <f t="shared" si="48"/>
        <v>0</v>
      </c>
      <c r="T49" s="97">
        <f t="shared" si="49"/>
        <v>0</v>
      </c>
      <c r="U49" s="98">
        <f t="shared" si="50"/>
        <v>254640</v>
      </c>
      <c r="V49" s="99">
        <f t="shared" si="51"/>
        <v>0</v>
      </c>
      <c r="W49" s="99">
        <f t="shared" si="52"/>
        <v>0</v>
      </c>
      <c r="X49" s="99">
        <f t="shared" si="53"/>
        <v>16760</v>
      </c>
      <c r="Y49" s="96">
        <f t="shared" si="54"/>
        <v>4329</v>
      </c>
      <c r="Z49" s="96">
        <f t="shared" si="55"/>
        <v>0</v>
      </c>
      <c r="AA49" s="96">
        <f t="shared" si="56"/>
        <v>34017</v>
      </c>
      <c r="AB49" s="96">
        <f t="shared" si="57"/>
        <v>0</v>
      </c>
      <c r="AC49" s="96">
        <f t="shared" si="58"/>
        <v>0</v>
      </c>
      <c r="AD49" s="96">
        <f t="shared" si="59"/>
        <v>0</v>
      </c>
      <c r="AE49" s="100">
        <f t="shared" si="60"/>
        <v>55106</v>
      </c>
      <c r="AF49" s="101">
        <f t="shared" si="61"/>
        <v>199534</v>
      </c>
      <c r="AG49" s="100">
        <f t="shared" si="62"/>
        <v>0</v>
      </c>
      <c r="AH49" s="96">
        <f t="shared" si="63"/>
        <v>0</v>
      </c>
    </row>
    <row r="50" spans="1:34" s="92" customFormat="1" ht="20.100000000000001" customHeight="1" x14ac:dyDescent="0.25">
      <c r="A50" s="94">
        <v>41</v>
      </c>
      <c r="B50" s="132" t="s">
        <v>216</v>
      </c>
      <c r="C50" s="94" t="str">
        <f t="shared" si="32"/>
        <v xml:space="preserve">Drejtor i kabinetit të Kryetarit të Gjykatës së Lartë.  </v>
      </c>
      <c r="D50" s="95" t="str">
        <f t="shared" si="33"/>
        <v>I-1</v>
      </c>
      <c r="E50" s="94">
        <f t="shared" si="34"/>
        <v>22</v>
      </c>
      <c r="F50" s="96">
        <f t="shared" si="35"/>
        <v>14000</v>
      </c>
      <c r="G50" s="96">
        <f t="shared" si="36"/>
        <v>235000</v>
      </c>
      <c r="H50" s="96">
        <f t="shared" si="37"/>
        <v>0</v>
      </c>
      <c r="I50" s="96">
        <f t="shared" si="38"/>
        <v>7050</v>
      </c>
      <c r="J50" s="96">
        <f t="shared" si="39"/>
        <v>0</v>
      </c>
      <c r="K50" s="96">
        <f t="shared" si="40"/>
        <v>0</v>
      </c>
      <c r="L50" s="96">
        <f t="shared" si="41"/>
        <v>0</v>
      </c>
      <c r="M50" s="96">
        <f t="shared" si="42"/>
        <v>0</v>
      </c>
      <c r="N50" s="96">
        <f t="shared" si="43"/>
        <v>0</v>
      </c>
      <c r="O50" s="96">
        <f t="shared" si="44"/>
        <v>0</v>
      </c>
      <c r="P50" s="96">
        <f t="shared" si="45"/>
        <v>0</v>
      </c>
      <c r="Q50" s="96">
        <f t="shared" si="46"/>
        <v>0</v>
      </c>
      <c r="R50" s="96">
        <f t="shared" si="47"/>
        <v>0</v>
      </c>
      <c r="S50" s="96">
        <f t="shared" si="48"/>
        <v>0</v>
      </c>
      <c r="T50" s="97">
        <f t="shared" si="49"/>
        <v>0</v>
      </c>
      <c r="U50" s="98">
        <f t="shared" si="50"/>
        <v>256050</v>
      </c>
      <c r="V50" s="99">
        <f t="shared" si="51"/>
        <v>0</v>
      </c>
      <c r="W50" s="99">
        <f t="shared" si="52"/>
        <v>0</v>
      </c>
      <c r="X50" s="99">
        <f t="shared" si="53"/>
        <v>16760</v>
      </c>
      <c r="Y50" s="96">
        <f t="shared" si="54"/>
        <v>4353</v>
      </c>
      <c r="Z50" s="96">
        <f t="shared" si="55"/>
        <v>0</v>
      </c>
      <c r="AA50" s="96">
        <f t="shared" si="56"/>
        <v>34342</v>
      </c>
      <c r="AB50" s="96">
        <f t="shared" si="57"/>
        <v>0</v>
      </c>
      <c r="AC50" s="96">
        <f t="shared" si="58"/>
        <v>0</v>
      </c>
      <c r="AD50" s="96">
        <f t="shared" si="59"/>
        <v>0</v>
      </c>
      <c r="AE50" s="100">
        <f t="shared" si="60"/>
        <v>55455</v>
      </c>
      <c r="AF50" s="101">
        <f t="shared" si="61"/>
        <v>200595</v>
      </c>
      <c r="AG50" s="100">
        <f t="shared" si="62"/>
        <v>0</v>
      </c>
      <c r="AH50" s="96">
        <f t="shared" si="63"/>
        <v>0</v>
      </c>
    </row>
    <row r="51" spans="1:34" s="92" customFormat="1" ht="20.100000000000001" customHeight="1" x14ac:dyDescent="0.25">
      <c r="A51" s="94">
        <v>42</v>
      </c>
      <c r="B51" s="132" t="s">
        <v>217</v>
      </c>
      <c r="C51" s="94" t="str">
        <f t="shared" si="32"/>
        <v xml:space="preserve">Këshilltar i Presidentit. </v>
      </c>
      <c r="D51" s="95" t="str">
        <f t="shared" si="33"/>
        <v>I-2</v>
      </c>
      <c r="E51" s="94">
        <f t="shared" si="34"/>
        <v>22</v>
      </c>
      <c r="F51" s="96">
        <f t="shared" si="35"/>
        <v>14000</v>
      </c>
      <c r="G51" s="96">
        <f t="shared" si="36"/>
        <v>217000</v>
      </c>
      <c r="H51" s="96">
        <f t="shared" si="37"/>
        <v>0</v>
      </c>
      <c r="I51" s="96">
        <f t="shared" si="38"/>
        <v>7812</v>
      </c>
      <c r="J51" s="96">
        <f t="shared" si="39"/>
        <v>0</v>
      </c>
      <c r="K51" s="96">
        <f t="shared" si="40"/>
        <v>0</v>
      </c>
      <c r="L51" s="96">
        <f t="shared" si="41"/>
        <v>0</v>
      </c>
      <c r="M51" s="96">
        <f t="shared" si="42"/>
        <v>0</v>
      </c>
      <c r="N51" s="96">
        <f t="shared" si="43"/>
        <v>0</v>
      </c>
      <c r="O51" s="96">
        <f t="shared" si="44"/>
        <v>0</v>
      </c>
      <c r="P51" s="96">
        <f t="shared" si="45"/>
        <v>0</v>
      </c>
      <c r="Q51" s="96">
        <f t="shared" si="46"/>
        <v>0</v>
      </c>
      <c r="R51" s="96">
        <f t="shared" si="47"/>
        <v>0</v>
      </c>
      <c r="S51" s="96">
        <f t="shared" si="48"/>
        <v>0</v>
      </c>
      <c r="T51" s="97">
        <f t="shared" si="49"/>
        <v>0</v>
      </c>
      <c r="U51" s="98">
        <f t="shared" si="50"/>
        <v>238812</v>
      </c>
      <c r="V51" s="99">
        <f t="shared" si="51"/>
        <v>0</v>
      </c>
      <c r="W51" s="99">
        <f t="shared" si="52"/>
        <v>0</v>
      </c>
      <c r="X51" s="99">
        <f t="shared" si="53"/>
        <v>16760</v>
      </c>
      <c r="Y51" s="96">
        <f t="shared" si="54"/>
        <v>4060</v>
      </c>
      <c r="Z51" s="96">
        <f t="shared" si="55"/>
        <v>0</v>
      </c>
      <c r="AA51" s="96">
        <f t="shared" si="56"/>
        <v>30377</v>
      </c>
      <c r="AB51" s="96">
        <f t="shared" si="57"/>
        <v>0</v>
      </c>
      <c r="AC51" s="96">
        <f t="shared" si="58"/>
        <v>0</v>
      </c>
      <c r="AD51" s="96">
        <f t="shared" si="59"/>
        <v>0</v>
      </c>
      <c r="AE51" s="100">
        <f t="shared" si="60"/>
        <v>51197</v>
      </c>
      <c r="AF51" s="101">
        <f t="shared" si="61"/>
        <v>187615</v>
      </c>
      <c r="AG51" s="100">
        <f t="shared" si="62"/>
        <v>0</v>
      </c>
      <c r="AH51" s="96">
        <f t="shared" si="63"/>
        <v>0</v>
      </c>
    </row>
    <row r="52" spans="1:34" s="92" customFormat="1" ht="20.100000000000001" customHeight="1" x14ac:dyDescent="0.25">
      <c r="A52" s="94">
        <v>43</v>
      </c>
      <c r="B52" s="132" t="s">
        <v>218</v>
      </c>
      <c r="C52" s="94" t="str">
        <f t="shared" si="32"/>
        <v xml:space="preserve">Këshilltar i Kryeministrit. </v>
      </c>
      <c r="D52" s="95" t="str">
        <f t="shared" si="33"/>
        <v>I-2</v>
      </c>
      <c r="E52" s="94">
        <f t="shared" si="34"/>
        <v>22</v>
      </c>
      <c r="F52" s="96">
        <f t="shared" si="35"/>
        <v>14000</v>
      </c>
      <c r="G52" s="96">
        <f t="shared" si="36"/>
        <v>217000</v>
      </c>
      <c r="H52" s="96">
        <f t="shared" si="37"/>
        <v>0</v>
      </c>
      <c r="I52" s="96">
        <f t="shared" si="38"/>
        <v>9114</v>
      </c>
      <c r="J52" s="96">
        <f t="shared" si="39"/>
        <v>0</v>
      </c>
      <c r="K52" s="96">
        <f t="shared" si="40"/>
        <v>0</v>
      </c>
      <c r="L52" s="96">
        <f t="shared" si="41"/>
        <v>0</v>
      </c>
      <c r="M52" s="96">
        <f t="shared" si="42"/>
        <v>0</v>
      </c>
      <c r="N52" s="96">
        <f t="shared" si="43"/>
        <v>0</v>
      </c>
      <c r="O52" s="96">
        <f t="shared" si="44"/>
        <v>0</v>
      </c>
      <c r="P52" s="96">
        <f t="shared" si="45"/>
        <v>0</v>
      </c>
      <c r="Q52" s="96">
        <f t="shared" si="46"/>
        <v>0</v>
      </c>
      <c r="R52" s="96">
        <f t="shared" si="47"/>
        <v>0</v>
      </c>
      <c r="S52" s="96">
        <f t="shared" si="48"/>
        <v>0</v>
      </c>
      <c r="T52" s="97">
        <f t="shared" si="49"/>
        <v>0</v>
      </c>
      <c r="U52" s="98">
        <f t="shared" si="50"/>
        <v>240114</v>
      </c>
      <c r="V52" s="99">
        <f t="shared" si="51"/>
        <v>0</v>
      </c>
      <c r="W52" s="99">
        <f t="shared" si="52"/>
        <v>0</v>
      </c>
      <c r="X52" s="99">
        <f t="shared" si="53"/>
        <v>16760</v>
      </c>
      <c r="Y52" s="96">
        <f t="shared" si="54"/>
        <v>4082</v>
      </c>
      <c r="Z52" s="96">
        <f t="shared" si="55"/>
        <v>0</v>
      </c>
      <c r="AA52" s="96">
        <f t="shared" si="56"/>
        <v>30676</v>
      </c>
      <c r="AB52" s="96">
        <f t="shared" si="57"/>
        <v>0</v>
      </c>
      <c r="AC52" s="96">
        <f t="shared" si="58"/>
        <v>0</v>
      </c>
      <c r="AD52" s="96">
        <f t="shared" si="59"/>
        <v>0</v>
      </c>
      <c r="AE52" s="100">
        <f t="shared" si="60"/>
        <v>51518</v>
      </c>
      <c r="AF52" s="101">
        <f t="shared" si="61"/>
        <v>188596</v>
      </c>
      <c r="AG52" s="100">
        <f t="shared" si="62"/>
        <v>0</v>
      </c>
      <c r="AH52" s="96">
        <f t="shared" si="63"/>
        <v>0</v>
      </c>
    </row>
    <row r="53" spans="1:34" s="92" customFormat="1" ht="20.100000000000001" customHeight="1" x14ac:dyDescent="0.25">
      <c r="A53" s="94">
        <v>44</v>
      </c>
      <c r="B53" s="132" t="s">
        <v>219</v>
      </c>
      <c r="C53" s="94" t="str">
        <f t="shared" si="32"/>
        <v xml:space="preserve">Këshilltar i Kryetarit të Kuvendit. </v>
      </c>
      <c r="D53" s="95" t="str">
        <f t="shared" si="33"/>
        <v>I-2</v>
      </c>
      <c r="E53" s="94">
        <f t="shared" si="34"/>
        <v>22</v>
      </c>
      <c r="F53" s="96">
        <f t="shared" si="35"/>
        <v>14000</v>
      </c>
      <c r="G53" s="96">
        <f t="shared" si="36"/>
        <v>217000</v>
      </c>
      <c r="H53" s="96">
        <f t="shared" si="37"/>
        <v>0</v>
      </c>
      <c r="I53" s="96">
        <f t="shared" si="38"/>
        <v>10416</v>
      </c>
      <c r="J53" s="96">
        <f t="shared" si="39"/>
        <v>0</v>
      </c>
      <c r="K53" s="96">
        <f t="shared" si="40"/>
        <v>0</v>
      </c>
      <c r="L53" s="96">
        <f t="shared" si="41"/>
        <v>0</v>
      </c>
      <c r="M53" s="96">
        <f t="shared" si="42"/>
        <v>0</v>
      </c>
      <c r="N53" s="96">
        <f t="shared" si="43"/>
        <v>0</v>
      </c>
      <c r="O53" s="96">
        <f t="shared" si="44"/>
        <v>0</v>
      </c>
      <c r="P53" s="96">
        <f t="shared" si="45"/>
        <v>0</v>
      </c>
      <c r="Q53" s="96">
        <f t="shared" si="46"/>
        <v>0</v>
      </c>
      <c r="R53" s="96">
        <f t="shared" si="47"/>
        <v>0</v>
      </c>
      <c r="S53" s="96">
        <f t="shared" si="48"/>
        <v>0</v>
      </c>
      <c r="T53" s="97">
        <f t="shared" si="49"/>
        <v>0</v>
      </c>
      <c r="U53" s="98">
        <f t="shared" si="50"/>
        <v>241416</v>
      </c>
      <c r="V53" s="99">
        <f t="shared" si="51"/>
        <v>0</v>
      </c>
      <c r="W53" s="99">
        <f t="shared" si="52"/>
        <v>0</v>
      </c>
      <c r="X53" s="99">
        <f t="shared" si="53"/>
        <v>16760</v>
      </c>
      <c r="Y53" s="96">
        <f t="shared" si="54"/>
        <v>4104</v>
      </c>
      <c r="Z53" s="96">
        <f t="shared" si="55"/>
        <v>0</v>
      </c>
      <c r="AA53" s="96">
        <f t="shared" si="56"/>
        <v>30976</v>
      </c>
      <c r="AB53" s="96">
        <f t="shared" si="57"/>
        <v>0</v>
      </c>
      <c r="AC53" s="96">
        <f t="shared" si="58"/>
        <v>0</v>
      </c>
      <c r="AD53" s="96">
        <f t="shared" si="59"/>
        <v>0</v>
      </c>
      <c r="AE53" s="100">
        <f t="shared" si="60"/>
        <v>51840</v>
      </c>
      <c r="AF53" s="101">
        <f t="shared" si="61"/>
        <v>189576</v>
      </c>
      <c r="AG53" s="100">
        <f t="shared" si="62"/>
        <v>0</v>
      </c>
      <c r="AH53" s="96">
        <f t="shared" si="63"/>
        <v>0</v>
      </c>
    </row>
    <row r="54" spans="1:34" s="92" customFormat="1" ht="20.100000000000001" customHeight="1" x14ac:dyDescent="0.25">
      <c r="A54" s="94">
        <v>45</v>
      </c>
      <c r="B54" s="132" t="s">
        <v>220</v>
      </c>
      <c r="C54" s="94" t="str">
        <f t="shared" si="32"/>
        <v xml:space="preserve">Këshilltar për protokollin i Kryeministrit. </v>
      </c>
      <c r="D54" s="95" t="str">
        <f t="shared" si="33"/>
        <v>I-2</v>
      </c>
      <c r="E54" s="94">
        <f t="shared" si="34"/>
        <v>22</v>
      </c>
      <c r="F54" s="96">
        <f t="shared" si="35"/>
        <v>14000</v>
      </c>
      <c r="G54" s="96">
        <f t="shared" si="36"/>
        <v>217000</v>
      </c>
      <c r="H54" s="96">
        <f t="shared" si="37"/>
        <v>0</v>
      </c>
      <c r="I54" s="96">
        <f t="shared" si="38"/>
        <v>11718</v>
      </c>
      <c r="J54" s="96">
        <f t="shared" si="39"/>
        <v>0</v>
      </c>
      <c r="K54" s="96">
        <f t="shared" si="40"/>
        <v>0</v>
      </c>
      <c r="L54" s="96">
        <f t="shared" si="41"/>
        <v>0</v>
      </c>
      <c r="M54" s="96">
        <f t="shared" si="42"/>
        <v>0</v>
      </c>
      <c r="N54" s="96">
        <f t="shared" si="43"/>
        <v>0</v>
      </c>
      <c r="O54" s="96">
        <f t="shared" si="44"/>
        <v>0</v>
      </c>
      <c r="P54" s="96">
        <f t="shared" si="45"/>
        <v>0</v>
      </c>
      <c r="Q54" s="96">
        <f t="shared" si="46"/>
        <v>0</v>
      </c>
      <c r="R54" s="96">
        <f t="shared" si="47"/>
        <v>0</v>
      </c>
      <c r="S54" s="96">
        <f t="shared" si="48"/>
        <v>0</v>
      </c>
      <c r="T54" s="97">
        <f t="shared" si="49"/>
        <v>0</v>
      </c>
      <c r="U54" s="98">
        <f t="shared" si="50"/>
        <v>242718</v>
      </c>
      <c r="V54" s="99">
        <f t="shared" si="51"/>
        <v>0</v>
      </c>
      <c r="W54" s="99">
        <f t="shared" si="52"/>
        <v>0</v>
      </c>
      <c r="X54" s="99">
        <f t="shared" si="53"/>
        <v>16760</v>
      </c>
      <c r="Y54" s="96">
        <f t="shared" si="54"/>
        <v>4126</v>
      </c>
      <c r="Z54" s="96">
        <f t="shared" si="55"/>
        <v>0</v>
      </c>
      <c r="AA54" s="96">
        <f t="shared" si="56"/>
        <v>31275</v>
      </c>
      <c r="AB54" s="96">
        <f t="shared" si="57"/>
        <v>0</v>
      </c>
      <c r="AC54" s="96">
        <f t="shared" si="58"/>
        <v>0</v>
      </c>
      <c r="AD54" s="96">
        <f t="shared" si="59"/>
        <v>0</v>
      </c>
      <c r="AE54" s="100">
        <f t="shared" si="60"/>
        <v>52161</v>
      </c>
      <c r="AF54" s="101">
        <f t="shared" si="61"/>
        <v>190557</v>
      </c>
      <c r="AG54" s="100">
        <f t="shared" si="62"/>
        <v>0</v>
      </c>
      <c r="AH54" s="96">
        <f t="shared" si="63"/>
        <v>0</v>
      </c>
    </row>
    <row r="55" spans="1:34" s="92" customFormat="1" ht="20.100000000000001" customHeight="1" x14ac:dyDescent="0.25">
      <c r="A55" s="94">
        <v>46</v>
      </c>
      <c r="B55" s="132" t="s">
        <v>221</v>
      </c>
      <c r="C55" s="94" t="str">
        <f t="shared" si="32"/>
        <v xml:space="preserve">Këshilltar për protokollin i Presidentit. </v>
      </c>
      <c r="D55" s="95" t="str">
        <f t="shared" si="33"/>
        <v>I-2</v>
      </c>
      <c r="E55" s="94">
        <f t="shared" si="34"/>
        <v>22</v>
      </c>
      <c r="F55" s="96">
        <f t="shared" si="35"/>
        <v>14000</v>
      </c>
      <c r="G55" s="96">
        <f t="shared" si="36"/>
        <v>217000</v>
      </c>
      <c r="H55" s="96">
        <f t="shared" si="37"/>
        <v>0</v>
      </c>
      <c r="I55" s="96">
        <f t="shared" si="38"/>
        <v>13020</v>
      </c>
      <c r="J55" s="96">
        <f t="shared" si="39"/>
        <v>0</v>
      </c>
      <c r="K55" s="96">
        <f t="shared" si="40"/>
        <v>0</v>
      </c>
      <c r="L55" s="96">
        <f t="shared" si="41"/>
        <v>0</v>
      </c>
      <c r="M55" s="96">
        <f t="shared" si="42"/>
        <v>0</v>
      </c>
      <c r="N55" s="96">
        <f t="shared" si="43"/>
        <v>0</v>
      </c>
      <c r="O55" s="96">
        <f t="shared" si="44"/>
        <v>0</v>
      </c>
      <c r="P55" s="96">
        <f t="shared" si="45"/>
        <v>0</v>
      </c>
      <c r="Q55" s="96">
        <f t="shared" si="46"/>
        <v>0</v>
      </c>
      <c r="R55" s="96">
        <f t="shared" si="47"/>
        <v>0</v>
      </c>
      <c r="S55" s="96">
        <f t="shared" si="48"/>
        <v>0</v>
      </c>
      <c r="T55" s="97">
        <f t="shared" si="49"/>
        <v>0</v>
      </c>
      <c r="U55" s="98">
        <f t="shared" si="50"/>
        <v>244020</v>
      </c>
      <c r="V55" s="99">
        <f t="shared" si="51"/>
        <v>0</v>
      </c>
      <c r="W55" s="99">
        <f t="shared" si="52"/>
        <v>0</v>
      </c>
      <c r="X55" s="99">
        <f t="shared" si="53"/>
        <v>16760</v>
      </c>
      <c r="Y55" s="96">
        <f t="shared" si="54"/>
        <v>4148</v>
      </c>
      <c r="Z55" s="96">
        <f t="shared" si="55"/>
        <v>0</v>
      </c>
      <c r="AA55" s="96">
        <f t="shared" si="56"/>
        <v>31575</v>
      </c>
      <c r="AB55" s="96">
        <f t="shared" si="57"/>
        <v>0</v>
      </c>
      <c r="AC55" s="96">
        <f t="shared" si="58"/>
        <v>0</v>
      </c>
      <c r="AD55" s="96">
        <f t="shared" si="59"/>
        <v>0</v>
      </c>
      <c r="AE55" s="100">
        <f t="shared" si="60"/>
        <v>52483</v>
      </c>
      <c r="AF55" s="101">
        <f t="shared" si="61"/>
        <v>191537</v>
      </c>
      <c r="AG55" s="100">
        <f t="shared" si="62"/>
        <v>0</v>
      </c>
      <c r="AH55" s="96">
        <f t="shared" si="63"/>
        <v>0</v>
      </c>
    </row>
    <row r="56" spans="1:34" s="92" customFormat="1" ht="20.100000000000001" customHeight="1" x14ac:dyDescent="0.25">
      <c r="A56" s="94">
        <v>47</v>
      </c>
      <c r="B56" s="132" t="s">
        <v>222</v>
      </c>
      <c r="C56" s="94" t="str">
        <f t="shared" si="32"/>
        <v xml:space="preserve">Zëdhënës i Presidentit. </v>
      </c>
      <c r="D56" s="95" t="str">
        <f t="shared" si="33"/>
        <v>I-2</v>
      </c>
      <c r="E56" s="94">
        <f t="shared" si="34"/>
        <v>22</v>
      </c>
      <c r="F56" s="96">
        <f t="shared" si="35"/>
        <v>14000</v>
      </c>
      <c r="G56" s="96">
        <f t="shared" si="36"/>
        <v>217000</v>
      </c>
      <c r="H56" s="96">
        <f t="shared" si="37"/>
        <v>0</v>
      </c>
      <c r="I56" s="96">
        <f t="shared" si="38"/>
        <v>14756</v>
      </c>
      <c r="J56" s="96">
        <f t="shared" si="39"/>
        <v>0</v>
      </c>
      <c r="K56" s="96">
        <f t="shared" si="40"/>
        <v>0</v>
      </c>
      <c r="L56" s="96">
        <f t="shared" si="41"/>
        <v>0</v>
      </c>
      <c r="M56" s="96">
        <f t="shared" si="42"/>
        <v>0</v>
      </c>
      <c r="N56" s="96">
        <f t="shared" si="43"/>
        <v>0</v>
      </c>
      <c r="O56" s="96">
        <f t="shared" si="44"/>
        <v>0</v>
      </c>
      <c r="P56" s="96">
        <f t="shared" si="45"/>
        <v>0</v>
      </c>
      <c r="Q56" s="96">
        <f t="shared" si="46"/>
        <v>0</v>
      </c>
      <c r="R56" s="96">
        <f t="shared" si="47"/>
        <v>0</v>
      </c>
      <c r="S56" s="96">
        <f t="shared" si="48"/>
        <v>0</v>
      </c>
      <c r="T56" s="97">
        <f t="shared" si="49"/>
        <v>0</v>
      </c>
      <c r="U56" s="98">
        <f t="shared" si="50"/>
        <v>245756</v>
      </c>
      <c r="V56" s="99">
        <f t="shared" si="51"/>
        <v>0</v>
      </c>
      <c r="W56" s="99">
        <f t="shared" si="52"/>
        <v>0</v>
      </c>
      <c r="X56" s="99">
        <f t="shared" si="53"/>
        <v>16760</v>
      </c>
      <c r="Y56" s="96">
        <f t="shared" si="54"/>
        <v>4178</v>
      </c>
      <c r="Z56" s="96">
        <f t="shared" si="55"/>
        <v>0</v>
      </c>
      <c r="AA56" s="96">
        <f t="shared" si="56"/>
        <v>31974</v>
      </c>
      <c r="AB56" s="96">
        <f t="shared" si="57"/>
        <v>0</v>
      </c>
      <c r="AC56" s="96">
        <f t="shared" si="58"/>
        <v>0</v>
      </c>
      <c r="AD56" s="96">
        <f t="shared" si="59"/>
        <v>0</v>
      </c>
      <c r="AE56" s="100">
        <f t="shared" si="60"/>
        <v>52912</v>
      </c>
      <c r="AF56" s="101">
        <f t="shared" si="61"/>
        <v>192844</v>
      </c>
      <c r="AG56" s="100">
        <f t="shared" si="62"/>
        <v>0</v>
      </c>
      <c r="AH56" s="96">
        <f t="shared" si="63"/>
        <v>0</v>
      </c>
    </row>
    <row r="57" spans="1:34" s="92" customFormat="1" ht="20.100000000000001" customHeight="1" x14ac:dyDescent="0.25">
      <c r="A57" s="94">
        <v>48</v>
      </c>
      <c r="B57" s="132" t="s">
        <v>223</v>
      </c>
      <c r="C57" s="94" t="str">
        <f t="shared" si="32"/>
        <v xml:space="preserve">Drejtor i kabinetit të Zëvendëskryeministrit. </v>
      </c>
      <c r="D57" s="95" t="str">
        <f t="shared" si="33"/>
        <v>I-2</v>
      </c>
      <c r="E57" s="94">
        <f t="shared" si="34"/>
        <v>22</v>
      </c>
      <c r="F57" s="96">
        <f t="shared" si="35"/>
        <v>14000</v>
      </c>
      <c r="G57" s="96">
        <f t="shared" si="36"/>
        <v>217000</v>
      </c>
      <c r="H57" s="96">
        <f t="shared" si="37"/>
        <v>0</v>
      </c>
      <c r="I57" s="96">
        <f t="shared" si="38"/>
        <v>16492</v>
      </c>
      <c r="J57" s="96">
        <f t="shared" si="39"/>
        <v>0</v>
      </c>
      <c r="K57" s="96">
        <f t="shared" si="40"/>
        <v>0</v>
      </c>
      <c r="L57" s="96">
        <f t="shared" si="41"/>
        <v>0</v>
      </c>
      <c r="M57" s="96">
        <f t="shared" si="42"/>
        <v>0</v>
      </c>
      <c r="N57" s="96">
        <f t="shared" si="43"/>
        <v>0</v>
      </c>
      <c r="O57" s="96">
        <f t="shared" si="44"/>
        <v>0</v>
      </c>
      <c r="P57" s="96">
        <f t="shared" si="45"/>
        <v>0</v>
      </c>
      <c r="Q57" s="96">
        <f t="shared" si="46"/>
        <v>0</v>
      </c>
      <c r="R57" s="96">
        <f t="shared" si="47"/>
        <v>0</v>
      </c>
      <c r="S57" s="96">
        <f t="shared" si="48"/>
        <v>0</v>
      </c>
      <c r="T57" s="97">
        <f t="shared" si="49"/>
        <v>0</v>
      </c>
      <c r="U57" s="98">
        <f t="shared" si="50"/>
        <v>247492</v>
      </c>
      <c r="V57" s="99">
        <f t="shared" si="51"/>
        <v>0</v>
      </c>
      <c r="W57" s="99">
        <f t="shared" si="52"/>
        <v>0</v>
      </c>
      <c r="X57" s="99">
        <f t="shared" si="53"/>
        <v>16760</v>
      </c>
      <c r="Y57" s="96">
        <f t="shared" si="54"/>
        <v>4207</v>
      </c>
      <c r="Z57" s="96">
        <f t="shared" si="55"/>
        <v>0</v>
      </c>
      <c r="AA57" s="96">
        <f t="shared" si="56"/>
        <v>32373</v>
      </c>
      <c r="AB57" s="96">
        <f t="shared" si="57"/>
        <v>0</v>
      </c>
      <c r="AC57" s="96">
        <f t="shared" si="58"/>
        <v>0</v>
      </c>
      <c r="AD57" s="96">
        <f t="shared" si="59"/>
        <v>0</v>
      </c>
      <c r="AE57" s="100">
        <f t="shared" si="60"/>
        <v>53340</v>
      </c>
      <c r="AF57" s="101">
        <f t="shared" si="61"/>
        <v>194152</v>
      </c>
      <c r="AG57" s="100">
        <f t="shared" si="62"/>
        <v>0</v>
      </c>
      <c r="AH57" s="96">
        <f t="shared" si="63"/>
        <v>0</v>
      </c>
    </row>
    <row r="58" spans="1:34" s="92" customFormat="1" ht="20.100000000000001" customHeight="1" x14ac:dyDescent="0.25">
      <c r="A58" s="94">
        <v>49</v>
      </c>
      <c r="B58" s="132" t="s">
        <v>224</v>
      </c>
      <c r="C58" s="94" t="str">
        <f t="shared" si="32"/>
        <v xml:space="preserve">Drejtor i kabinetit të Avokatit të Popullit. </v>
      </c>
      <c r="D58" s="95" t="str">
        <f t="shared" si="33"/>
        <v>I-2</v>
      </c>
      <c r="E58" s="94">
        <f t="shared" si="34"/>
        <v>22</v>
      </c>
      <c r="F58" s="96">
        <f t="shared" si="35"/>
        <v>14000</v>
      </c>
      <c r="G58" s="96">
        <f t="shared" si="36"/>
        <v>217000</v>
      </c>
      <c r="H58" s="96">
        <f t="shared" si="37"/>
        <v>0</v>
      </c>
      <c r="I58" s="96">
        <f t="shared" si="38"/>
        <v>18228</v>
      </c>
      <c r="J58" s="96">
        <f t="shared" si="39"/>
        <v>0</v>
      </c>
      <c r="K58" s="96">
        <f t="shared" si="40"/>
        <v>0</v>
      </c>
      <c r="L58" s="96">
        <f t="shared" si="41"/>
        <v>0</v>
      </c>
      <c r="M58" s="96">
        <f t="shared" si="42"/>
        <v>0</v>
      </c>
      <c r="N58" s="96">
        <f t="shared" si="43"/>
        <v>0</v>
      </c>
      <c r="O58" s="96">
        <f t="shared" si="44"/>
        <v>0</v>
      </c>
      <c r="P58" s="96">
        <f t="shared" si="45"/>
        <v>0</v>
      </c>
      <c r="Q58" s="96">
        <f t="shared" si="46"/>
        <v>0</v>
      </c>
      <c r="R58" s="96">
        <f t="shared" si="47"/>
        <v>0</v>
      </c>
      <c r="S58" s="96">
        <f t="shared" si="48"/>
        <v>0</v>
      </c>
      <c r="T58" s="97">
        <f t="shared" si="49"/>
        <v>0</v>
      </c>
      <c r="U58" s="98">
        <f t="shared" si="50"/>
        <v>249228</v>
      </c>
      <c r="V58" s="99">
        <f t="shared" si="51"/>
        <v>0</v>
      </c>
      <c r="W58" s="99">
        <f t="shared" si="52"/>
        <v>0</v>
      </c>
      <c r="X58" s="99">
        <f t="shared" si="53"/>
        <v>16760</v>
      </c>
      <c r="Y58" s="96">
        <f t="shared" si="54"/>
        <v>4237</v>
      </c>
      <c r="Z58" s="96">
        <f t="shared" si="55"/>
        <v>0</v>
      </c>
      <c r="AA58" s="96">
        <f t="shared" si="56"/>
        <v>32772</v>
      </c>
      <c r="AB58" s="96">
        <f t="shared" si="57"/>
        <v>0</v>
      </c>
      <c r="AC58" s="96">
        <f t="shared" si="58"/>
        <v>0</v>
      </c>
      <c r="AD58" s="96">
        <f t="shared" si="59"/>
        <v>0</v>
      </c>
      <c r="AE58" s="100">
        <f t="shared" si="60"/>
        <v>53769</v>
      </c>
      <c r="AF58" s="101">
        <f t="shared" si="61"/>
        <v>195459</v>
      </c>
      <c r="AG58" s="100">
        <f t="shared" si="62"/>
        <v>0</v>
      </c>
      <c r="AH58" s="96">
        <f t="shared" si="63"/>
        <v>0</v>
      </c>
    </row>
    <row r="59" spans="1:34" s="92" customFormat="1" ht="20.100000000000001" customHeight="1" x14ac:dyDescent="0.25">
      <c r="A59" s="94">
        <v>50</v>
      </c>
      <c r="B59" s="132" t="s">
        <v>225</v>
      </c>
      <c r="C59" s="94" t="str">
        <f t="shared" si="32"/>
        <v xml:space="preserve">Drejtor i kabinetit të Kryetarit të Komisionit Qendror të Zgjedhjeve.  </v>
      </c>
      <c r="D59" s="95" t="str">
        <f t="shared" si="33"/>
        <v>I-2</v>
      </c>
      <c r="E59" s="94">
        <f t="shared" si="34"/>
        <v>22</v>
      </c>
      <c r="F59" s="96">
        <f t="shared" si="35"/>
        <v>14000</v>
      </c>
      <c r="G59" s="96">
        <f t="shared" si="36"/>
        <v>217000</v>
      </c>
      <c r="H59" s="96">
        <f t="shared" si="37"/>
        <v>0</v>
      </c>
      <c r="I59" s="96">
        <f t="shared" si="38"/>
        <v>19964</v>
      </c>
      <c r="J59" s="96">
        <f t="shared" si="39"/>
        <v>0</v>
      </c>
      <c r="K59" s="96">
        <f t="shared" si="40"/>
        <v>0</v>
      </c>
      <c r="L59" s="96">
        <f t="shared" si="41"/>
        <v>0</v>
      </c>
      <c r="M59" s="96">
        <f t="shared" si="42"/>
        <v>0</v>
      </c>
      <c r="N59" s="96">
        <f t="shared" si="43"/>
        <v>0</v>
      </c>
      <c r="O59" s="96">
        <f t="shared" si="44"/>
        <v>0</v>
      </c>
      <c r="P59" s="96">
        <f t="shared" si="45"/>
        <v>0</v>
      </c>
      <c r="Q59" s="96">
        <f t="shared" si="46"/>
        <v>0</v>
      </c>
      <c r="R59" s="96">
        <f t="shared" si="47"/>
        <v>0</v>
      </c>
      <c r="S59" s="96">
        <f t="shared" si="48"/>
        <v>0</v>
      </c>
      <c r="T59" s="97">
        <f t="shared" si="49"/>
        <v>0</v>
      </c>
      <c r="U59" s="98">
        <f t="shared" si="50"/>
        <v>250964</v>
      </c>
      <c r="V59" s="99">
        <f t="shared" si="51"/>
        <v>0</v>
      </c>
      <c r="W59" s="99">
        <f t="shared" si="52"/>
        <v>0</v>
      </c>
      <c r="X59" s="99">
        <f t="shared" si="53"/>
        <v>16760</v>
      </c>
      <c r="Y59" s="96">
        <f t="shared" si="54"/>
        <v>4266</v>
      </c>
      <c r="Z59" s="96">
        <f t="shared" si="55"/>
        <v>0</v>
      </c>
      <c r="AA59" s="96">
        <f t="shared" si="56"/>
        <v>33172</v>
      </c>
      <c r="AB59" s="96">
        <f t="shared" si="57"/>
        <v>0</v>
      </c>
      <c r="AC59" s="96">
        <f t="shared" si="58"/>
        <v>0</v>
      </c>
      <c r="AD59" s="96">
        <f t="shared" si="59"/>
        <v>0</v>
      </c>
      <c r="AE59" s="100">
        <f t="shared" si="60"/>
        <v>54198</v>
      </c>
      <c r="AF59" s="101">
        <f t="shared" si="61"/>
        <v>196766</v>
      </c>
      <c r="AG59" s="100">
        <f t="shared" si="62"/>
        <v>0</v>
      </c>
      <c r="AH59" s="96">
        <f t="shared" si="63"/>
        <v>0</v>
      </c>
    </row>
    <row r="60" spans="1:34" s="92" customFormat="1" ht="20.100000000000001" customHeight="1" x14ac:dyDescent="0.25">
      <c r="A60" s="94">
        <v>51</v>
      </c>
      <c r="B60" s="132" t="s">
        <v>226</v>
      </c>
      <c r="C60" s="94" t="str">
        <f t="shared" si="32"/>
        <v xml:space="preserve">Këshilltar i Prokurorit të Përgjithshëm. </v>
      </c>
      <c r="D60" s="95" t="str">
        <f t="shared" si="33"/>
        <v>I-3</v>
      </c>
      <c r="E60" s="94">
        <f t="shared" si="34"/>
        <v>22</v>
      </c>
      <c r="F60" s="96">
        <f t="shared" si="35"/>
        <v>14000</v>
      </c>
      <c r="G60" s="96">
        <f t="shared" si="36"/>
        <v>205000</v>
      </c>
      <c r="H60" s="96">
        <f t="shared" si="37"/>
        <v>0</v>
      </c>
      <c r="I60" s="96">
        <f t="shared" si="38"/>
        <v>20500</v>
      </c>
      <c r="J60" s="96">
        <f t="shared" si="39"/>
        <v>0</v>
      </c>
      <c r="K60" s="96">
        <f t="shared" si="40"/>
        <v>0</v>
      </c>
      <c r="L60" s="96">
        <f t="shared" si="41"/>
        <v>0</v>
      </c>
      <c r="M60" s="96">
        <f t="shared" si="42"/>
        <v>0</v>
      </c>
      <c r="N60" s="96">
        <f t="shared" si="43"/>
        <v>0</v>
      </c>
      <c r="O60" s="96">
        <f t="shared" si="44"/>
        <v>0</v>
      </c>
      <c r="P60" s="96">
        <f t="shared" si="45"/>
        <v>0</v>
      </c>
      <c r="Q60" s="96">
        <f t="shared" si="46"/>
        <v>0</v>
      </c>
      <c r="R60" s="96">
        <f t="shared" si="47"/>
        <v>0</v>
      </c>
      <c r="S60" s="96">
        <f t="shared" si="48"/>
        <v>0</v>
      </c>
      <c r="T60" s="97">
        <f t="shared" si="49"/>
        <v>0</v>
      </c>
      <c r="U60" s="98">
        <f t="shared" si="50"/>
        <v>239500</v>
      </c>
      <c r="V60" s="99">
        <f t="shared" si="51"/>
        <v>0</v>
      </c>
      <c r="W60" s="99">
        <f t="shared" si="52"/>
        <v>0</v>
      </c>
      <c r="X60" s="99">
        <f t="shared" si="53"/>
        <v>16760</v>
      </c>
      <c r="Y60" s="96">
        <f t="shared" si="54"/>
        <v>4072</v>
      </c>
      <c r="Z60" s="96">
        <f t="shared" si="55"/>
        <v>0</v>
      </c>
      <c r="AA60" s="96">
        <f t="shared" si="56"/>
        <v>30535</v>
      </c>
      <c r="AB60" s="96">
        <f t="shared" si="57"/>
        <v>0</v>
      </c>
      <c r="AC60" s="96">
        <f t="shared" si="58"/>
        <v>0</v>
      </c>
      <c r="AD60" s="96">
        <f t="shared" si="59"/>
        <v>0</v>
      </c>
      <c r="AE60" s="100">
        <f t="shared" si="60"/>
        <v>51367</v>
      </c>
      <c r="AF60" s="101">
        <f t="shared" si="61"/>
        <v>188133</v>
      </c>
      <c r="AG60" s="100">
        <f t="shared" si="62"/>
        <v>0</v>
      </c>
      <c r="AH60" s="96">
        <f t="shared" si="63"/>
        <v>0</v>
      </c>
    </row>
    <row r="61" spans="1:34" s="92" customFormat="1" ht="20.100000000000001" customHeight="1" x14ac:dyDescent="0.25">
      <c r="A61" s="94">
        <v>52</v>
      </c>
      <c r="B61" s="132" t="s">
        <v>227</v>
      </c>
      <c r="C61" s="94" t="str">
        <f t="shared" si="32"/>
        <v xml:space="preserve">Këshilltar i Kryetarit të Gjykatës së Lartë. </v>
      </c>
      <c r="D61" s="95" t="str">
        <f t="shared" si="33"/>
        <v>I-3</v>
      </c>
      <c r="E61" s="94">
        <f t="shared" si="34"/>
        <v>22</v>
      </c>
      <c r="F61" s="96">
        <f t="shared" si="35"/>
        <v>14000</v>
      </c>
      <c r="G61" s="96">
        <f t="shared" si="36"/>
        <v>205000</v>
      </c>
      <c r="H61" s="96">
        <f t="shared" si="37"/>
        <v>0</v>
      </c>
      <c r="I61" s="96">
        <f t="shared" si="38"/>
        <v>22140</v>
      </c>
      <c r="J61" s="96">
        <f t="shared" si="39"/>
        <v>0</v>
      </c>
      <c r="K61" s="96">
        <f t="shared" si="40"/>
        <v>0</v>
      </c>
      <c r="L61" s="96">
        <f t="shared" si="41"/>
        <v>0</v>
      </c>
      <c r="M61" s="96">
        <f t="shared" si="42"/>
        <v>0</v>
      </c>
      <c r="N61" s="96">
        <f t="shared" si="43"/>
        <v>0</v>
      </c>
      <c r="O61" s="96">
        <f t="shared" si="44"/>
        <v>0</v>
      </c>
      <c r="P61" s="96">
        <f t="shared" si="45"/>
        <v>0</v>
      </c>
      <c r="Q61" s="96">
        <f t="shared" si="46"/>
        <v>0</v>
      </c>
      <c r="R61" s="96">
        <f t="shared" si="47"/>
        <v>0</v>
      </c>
      <c r="S61" s="96">
        <f t="shared" si="48"/>
        <v>0</v>
      </c>
      <c r="T61" s="97">
        <f t="shared" si="49"/>
        <v>0</v>
      </c>
      <c r="U61" s="98">
        <f t="shared" si="50"/>
        <v>241140</v>
      </c>
      <c r="V61" s="99">
        <f t="shared" si="51"/>
        <v>0</v>
      </c>
      <c r="W61" s="99">
        <f t="shared" si="52"/>
        <v>0</v>
      </c>
      <c r="X61" s="99">
        <f t="shared" si="53"/>
        <v>16760</v>
      </c>
      <c r="Y61" s="96">
        <f t="shared" si="54"/>
        <v>4099</v>
      </c>
      <c r="Z61" s="96">
        <f t="shared" si="55"/>
        <v>0</v>
      </c>
      <c r="AA61" s="96">
        <f t="shared" si="56"/>
        <v>30912</v>
      </c>
      <c r="AB61" s="96">
        <f t="shared" si="57"/>
        <v>0</v>
      </c>
      <c r="AC61" s="96">
        <f t="shared" si="58"/>
        <v>0</v>
      </c>
      <c r="AD61" s="96">
        <f t="shared" si="59"/>
        <v>0</v>
      </c>
      <c r="AE61" s="100">
        <f t="shared" si="60"/>
        <v>51771</v>
      </c>
      <c r="AF61" s="101">
        <f t="shared" si="61"/>
        <v>189369</v>
      </c>
      <c r="AG61" s="100">
        <f t="shared" si="62"/>
        <v>0</v>
      </c>
      <c r="AH61" s="96">
        <f t="shared" si="63"/>
        <v>0</v>
      </c>
    </row>
    <row r="62" spans="1:34" s="92" customFormat="1" ht="20.100000000000001" customHeight="1" x14ac:dyDescent="0.25">
      <c r="A62" s="94">
        <v>53</v>
      </c>
      <c r="B62" s="132" t="s">
        <v>228</v>
      </c>
      <c r="C62" s="94" t="str">
        <f t="shared" si="32"/>
        <v xml:space="preserve">Këshilltar i Avokatit të Popullit. </v>
      </c>
      <c r="D62" s="95" t="str">
        <f t="shared" si="33"/>
        <v>I-3</v>
      </c>
      <c r="E62" s="94">
        <f t="shared" si="34"/>
        <v>22</v>
      </c>
      <c r="F62" s="96">
        <f t="shared" si="35"/>
        <v>14000</v>
      </c>
      <c r="G62" s="96">
        <f t="shared" si="36"/>
        <v>205000</v>
      </c>
      <c r="H62" s="96">
        <f t="shared" si="37"/>
        <v>0</v>
      </c>
      <c r="I62" s="96">
        <f t="shared" si="38"/>
        <v>23780</v>
      </c>
      <c r="J62" s="96">
        <f t="shared" si="39"/>
        <v>0</v>
      </c>
      <c r="K62" s="96">
        <f t="shared" si="40"/>
        <v>0</v>
      </c>
      <c r="L62" s="96">
        <f t="shared" si="41"/>
        <v>0</v>
      </c>
      <c r="M62" s="96">
        <f t="shared" si="42"/>
        <v>0</v>
      </c>
      <c r="N62" s="96">
        <f t="shared" si="43"/>
        <v>0</v>
      </c>
      <c r="O62" s="96">
        <f t="shared" si="44"/>
        <v>0</v>
      </c>
      <c r="P62" s="96">
        <f t="shared" si="45"/>
        <v>0</v>
      </c>
      <c r="Q62" s="96">
        <f t="shared" si="46"/>
        <v>0</v>
      </c>
      <c r="R62" s="96">
        <f t="shared" si="47"/>
        <v>0</v>
      </c>
      <c r="S62" s="96">
        <f t="shared" si="48"/>
        <v>0</v>
      </c>
      <c r="T62" s="97">
        <f t="shared" si="49"/>
        <v>0</v>
      </c>
      <c r="U62" s="98">
        <f t="shared" si="50"/>
        <v>242780</v>
      </c>
      <c r="V62" s="99">
        <f t="shared" si="51"/>
        <v>0</v>
      </c>
      <c r="W62" s="99">
        <f t="shared" si="52"/>
        <v>0</v>
      </c>
      <c r="X62" s="99">
        <f t="shared" si="53"/>
        <v>16760</v>
      </c>
      <c r="Y62" s="96">
        <f t="shared" si="54"/>
        <v>4127</v>
      </c>
      <c r="Z62" s="96">
        <f t="shared" si="55"/>
        <v>0</v>
      </c>
      <c r="AA62" s="96">
        <f t="shared" si="56"/>
        <v>31289</v>
      </c>
      <c r="AB62" s="96">
        <f t="shared" si="57"/>
        <v>0</v>
      </c>
      <c r="AC62" s="96">
        <f t="shared" si="58"/>
        <v>0</v>
      </c>
      <c r="AD62" s="96">
        <f t="shared" si="59"/>
        <v>0</v>
      </c>
      <c r="AE62" s="100">
        <f t="shared" si="60"/>
        <v>52176</v>
      </c>
      <c r="AF62" s="101">
        <f t="shared" si="61"/>
        <v>190604</v>
      </c>
      <c r="AG62" s="100">
        <f t="shared" si="62"/>
        <v>0</v>
      </c>
      <c r="AH62" s="96">
        <f t="shared" si="63"/>
        <v>0</v>
      </c>
    </row>
    <row r="63" spans="1:34" s="92" customFormat="1" ht="20.100000000000001" customHeight="1" x14ac:dyDescent="0.25">
      <c r="A63" s="94">
        <v>54</v>
      </c>
      <c r="B63" s="132" t="s">
        <v>229</v>
      </c>
      <c r="C63" s="94" t="str">
        <f t="shared" si="32"/>
        <v xml:space="preserve">Këshilltar i Kryetarit të Komisionit Qendror të Zgjedhjeve. </v>
      </c>
      <c r="D63" s="95" t="str">
        <f t="shared" si="33"/>
        <v>I-3</v>
      </c>
      <c r="E63" s="94">
        <f t="shared" si="34"/>
        <v>22</v>
      </c>
      <c r="F63" s="96">
        <f t="shared" si="35"/>
        <v>14000</v>
      </c>
      <c r="G63" s="96">
        <f t="shared" si="36"/>
        <v>205000</v>
      </c>
      <c r="H63" s="96">
        <f t="shared" si="37"/>
        <v>0</v>
      </c>
      <c r="I63" s="96">
        <f t="shared" si="38"/>
        <v>25420</v>
      </c>
      <c r="J63" s="96">
        <f t="shared" si="39"/>
        <v>0</v>
      </c>
      <c r="K63" s="96">
        <f t="shared" si="40"/>
        <v>0</v>
      </c>
      <c r="L63" s="96">
        <f t="shared" si="41"/>
        <v>0</v>
      </c>
      <c r="M63" s="96">
        <f t="shared" si="42"/>
        <v>0</v>
      </c>
      <c r="N63" s="96">
        <f t="shared" si="43"/>
        <v>0</v>
      </c>
      <c r="O63" s="96">
        <f t="shared" si="44"/>
        <v>0</v>
      </c>
      <c r="P63" s="96">
        <f t="shared" si="45"/>
        <v>0</v>
      </c>
      <c r="Q63" s="96">
        <f t="shared" si="46"/>
        <v>0</v>
      </c>
      <c r="R63" s="96">
        <f t="shared" si="47"/>
        <v>0</v>
      </c>
      <c r="S63" s="96">
        <f t="shared" si="48"/>
        <v>0</v>
      </c>
      <c r="T63" s="97">
        <f t="shared" si="49"/>
        <v>0</v>
      </c>
      <c r="U63" s="98">
        <f t="shared" si="50"/>
        <v>244420</v>
      </c>
      <c r="V63" s="99">
        <f t="shared" si="51"/>
        <v>0</v>
      </c>
      <c r="W63" s="99">
        <f t="shared" si="52"/>
        <v>0</v>
      </c>
      <c r="X63" s="99">
        <f t="shared" si="53"/>
        <v>16760</v>
      </c>
      <c r="Y63" s="96">
        <f t="shared" si="54"/>
        <v>4155</v>
      </c>
      <c r="Z63" s="96">
        <f t="shared" si="55"/>
        <v>0</v>
      </c>
      <c r="AA63" s="96">
        <f t="shared" si="56"/>
        <v>31667</v>
      </c>
      <c r="AB63" s="96">
        <f t="shared" si="57"/>
        <v>0</v>
      </c>
      <c r="AC63" s="96">
        <f t="shared" si="58"/>
        <v>0</v>
      </c>
      <c r="AD63" s="96">
        <f t="shared" si="59"/>
        <v>0</v>
      </c>
      <c r="AE63" s="100">
        <f t="shared" si="60"/>
        <v>52582</v>
      </c>
      <c r="AF63" s="101">
        <f t="shared" si="61"/>
        <v>191838</v>
      </c>
      <c r="AG63" s="100">
        <f t="shared" si="62"/>
        <v>0</v>
      </c>
      <c r="AH63" s="96">
        <f t="shared" si="63"/>
        <v>0</v>
      </c>
    </row>
    <row r="64" spans="1:34" s="92" customFormat="1" ht="20.100000000000001" customHeight="1" x14ac:dyDescent="0.25">
      <c r="A64" s="94">
        <v>55</v>
      </c>
      <c r="B64" s="132" t="s">
        <v>230</v>
      </c>
      <c r="C64" s="94" t="str">
        <f t="shared" si="32"/>
        <v xml:space="preserve">Drejtor i kabinetit të ministrit. </v>
      </c>
      <c r="D64" s="95" t="str">
        <f t="shared" si="33"/>
        <v>I-3</v>
      </c>
      <c r="E64" s="94">
        <f t="shared" si="34"/>
        <v>22</v>
      </c>
      <c r="F64" s="96">
        <f t="shared" si="35"/>
        <v>14000</v>
      </c>
      <c r="G64" s="96">
        <f t="shared" si="36"/>
        <v>205000</v>
      </c>
      <c r="H64" s="96">
        <f t="shared" si="37"/>
        <v>0</v>
      </c>
      <c r="I64" s="96">
        <f t="shared" si="38"/>
        <v>27060</v>
      </c>
      <c r="J64" s="96">
        <f t="shared" si="39"/>
        <v>0</v>
      </c>
      <c r="K64" s="96">
        <f t="shared" si="40"/>
        <v>0</v>
      </c>
      <c r="L64" s="96">
        <f t="shared" si="41"/>
        <v>0</v>
      </c>
      <c r="M64" s="96">
        <f t="shared" si="42"/>
        <v>0</v>
      </c>
      <c r="N64" s="96">
        <f t="shared" si="43"/>
        <v>0</v>
      </c>
      <c r="O64" s="96">
        <f t="shared" si="44"/>
        <v>0</v>
      </c>
      <c r="P64" s="96">
        <f t="shared" si="45"/>
        <v>0</v>
      </c>
      <c r="Q64" s="96">
        <f t="shared" si="46"/>
        <v>0</v>
      </c>
      <c r="R64" s="96">
        <f t="shared" si="47"/>
        <v>0</v>
      </c>
      <c r="S64" s="96">
        <f t="shared" si="48"/>
        <v>0</v>
      </c>
      <c r="T64" s="97">
        <f t="shared" si="49"/>
        <v>0</v>
      </c>
      <c r="U64" s="98">
        <f t="shared" si="50"/>
        <v>246060</v>
      </c>
      <c r="V64" s="99">
        <f t="shared" si="51"/>
        <v>0</v>
      </c>
      <c r="W64" s="99">
        <f t="shared" si="52"/>
        <v>0</v>
      </c>
      <c r="X64" s="99">
        <f t="shared" si="53"/>
        <v>16760</v>
      </c>
      <c r="Y64" s="96">
        <f t="shared" si="54"/>
        <v>4183</v>
      </c>
      <c r="Z64" s="96">
        <f t="shared" si="55"/>
        <v>0</v>
      </c>
      <c r="AA64" s="96">
        <f t="shared" si="56"/>
        <v>32044</v>
      </c>
      <c r="AB64" s="96">
        <f t="shared" si="57"/>
        <v>0</v>
      </c>
      <c r="AC64" s="96">
        <f t="shared" si="58"/>
        <v>0</v>
      </c>
      <c r="AD64" s="96">
        <f t="shared" si="59"/>
        <v>0</v>
      </c>
      <c r="AE64" s="100">
        <f t="shared" si="60"/>
        <v>52987</v>
      </c>
      <c r="AF64" s="101">
        <f t="shared" si="61"/>
        <v>193073</v>
      </c>
      <c r="AG64" s="100">
        <f t="shared" si="62"/>
        <v>0</v>
      </c>
      <c r="AH64" s="96">
        <f t="shared" si="63"/>
        <v>0</v>
      </c>
    </row>
    <row r="65" spans="1:34" s="92" customFormat="1" ht="20.100000000000001" customHeight="1" x14ac:dyDescent="0.25">
      <c r="A65" s="94">
        <v>56</v>
      </c>
      <c r="B65" s="132" t="s">
        <v>231</v>
      </c>
      <c r="C65" s="94" t="str">
        <f t="shared" si="32"/>
        <v xml:space="preserve">Drejtorë të kabineteve të titullarëve të institucioneve të tjera të pavarura të përmendura në shkronjën “a”, të pikës 1, të kreut I, të këtij vendimi. </v>
      </c>
      <c r="D65" s="95" t="str">
        <f t="shared" si="33"/>
        <v>I-3</v>
      </c>
      <c r="E65" s="94">
        <f t="shared" si="34"/>
        <v>22</v>
      </c>
      <c r="F65" s="96">
        <f t="shared" si="35"/>
        <v>14000</v>
      </c>
      <c r="G65" s="96">
        <f t="shared" si="36"/>
        <v>205000</v>
      </c>
      <c r="H65" s="96">
        <f t="shared" si="37"/>
        <v>0</v>
      </c>
      <c r="I65" s="96">
        <f t="shared" si="38"/>
        <v>28700</v>
      </c>
      <c r="J65" s="96">
        <f t="shared" si="39"/>
        <v>0</v>
      </c>
      <c r="K65" s="96">
        <f t="shared" si="40"/>
        <v>0</v>
      </c>
      <c r="L65" s="96">
        <f t="shared" si="41"/>
        <v>0</v>
      </c>
      <c r="M65" s="96">
        <f t="shared" si="42"/>
        <v>0</v>
      </c>
      <c r="N65" s="96">
        <f t="shared" si="43"/>
        <v>0</v>
      </c>
      <c r="O65" s="96">
        <f t="shared" si="44"/>
        <v>0</v>
      </c>
      <c r="P65" s="96">
        <f t="shared" si="45"/>
        <v>0</v>
      </c>
      <c r="Q65" s="96">
        <f t="shared" si="46"/>
        <v>0</v>
      </c>
      <c r="R65" s="96">
        <f t="shared" si="47"/>
        <v>0</v>
      </c>
      <c r="S65" s="96">
        <f t="shared" si="48"/>
        <v>0</v>
      </c>
      <c r="T65" s="97">
        <f t="shared" si="49"/>
        <v>0</v>
      </c>
      <c r="U65" s="98">
        <f t="shared" si="50"/>
        <v>247700</v>
      </c>
      <c r="V65" s="99">
        <f t="shared" si="51"/>
        <v>0</v>
      </c>
      <c r="W65" s="99">
        <f t="shared" si="52"/>
        <v>0</v>
      </c>
      <c r="X65" s="99">
        <f t="shared" si="53"/>
        <v>16760</v>
      </c>
      <c r="Y65" s="96">
        <f t="shared" si="54"/>
        <v>4211</v>
      </c>
      <c r="Z65" s="96">
        <f t="shared" si="55"/>
        <v>0</v>
      </c>
      <c r="AA65" s="96">
        <f t="shared" si="56"/>
        <v>32421</v>
      </c>
      <c r="AB65" s="96">
        <f t="shared" si="57"/>
        <v>0</v>
      </c>
      <c r="AC65" s="96">
        <f t="shared" si="58"/>
        <v>0</v>
      </c>
      <c r="AD65" s="96">
        <f t="shared" si="59"/>
        <v>0</v>
      </c>
      <c r="AE65" s="100">
        <f t="shared" si="60"/>
        <v>53392</v>
      </c>
      <c r="AF65" s="101">
        <f t="shared" si="61"/>
        <v>194308</v>
      </c>
      <c r="AG65" s="100">
        <f t="shared" si="62"/>
        <v>0</v>
      </c>
      <c r="AH65" s="96">
        <f t="shared" si="63"/>
        <v>0</v>
      </c>
    </row>
    <row r="66" spans="1:34" s="92" customFormat="1" ht="20.100000000000001" customHeight="1" x14ac:dyDescent="0.25">
      <c r="A66" s="94">
        <v>57</v>
      </c>
      <c r="B66" s="132" t="s">
        <v>232</v>
      </c>
      <c r="C66" s="94" t="str">
        <f t="shared" si="32"/>
        <v xml:space="preserve">Ndihmës i Presidentit. </v>
      </c>
      <c r="D66" s="95" t="str">
        <f t="shared" si="33"/>
        <v>I-3</v>
      </c>
      <c r="E66" s="94">
        <f t="shared" si="34"/>
        <v>22</v>
      </c>
      <c r="F66" s="96">
        <f t="shared" si="35"/>
        <v>14000</v>
      </c>
      <c r="G66" s="96">
        <f t="shared" si="36"/>
        <v>205000</v>
      </c>
      <c r="H66" s="96">
        <f t="shared" si="37"/>
        <v>0</v>
      </c>
      <c r="I66" s="96">
        <f t="shared" si="38"/>
        <v>30750</v>
      </c>
      <c r="J66" s="96">
        <f t="shared" si="39"/>
        <v>0</v>
      </c>
      <c r="K66" s="96">
        <f t="shared" si="40"/>
        <v>0</v>
      </c>
      <c r="L66" s="96">
        <f t="shared" si="41"/>
        <v>0</v>
      </c>
      <c r="M66" s="96">
        <f t="shared" si="42"/>
        <v>0</v>
      </c>
      <c r="N66" s="96">
        <f t="shared" si="43"/>
        <v>0</v>
      </c>
      <c r="O66" s="96">
        <f t="shared" si="44"/>
        <v>0</v>
      </c>
      <c r="P66" s="96">
        <f t="shared" si="45"/>
        <v>0</v>
      </c>
      <c r="Q66" s="96">
        <f t="shared" si="46"/>
        <v>0</v>
      </c>
      <c r="R66" s="96">
        <f t="shared" si="47"/>
        <v>0</v>
      </c>
      <c r="S66" s="96">
        <f t="shared" si="48"/>
        <v>0</v>
      </c>
      <c r="T66" s="97">
        <f t="shared" si="49"/>
        <v>0</v>
      </c>
      <c r="U66" s="98">
        <f t="shared" si="50"/>
        <v>249750</v>
      </c>
      <c r="V66" s="99">
        <f t="shared" si="51"/>
        <v>0</v>
      </c>
      <c r="W66" s="99">
        <f t="shared" si="52"/>
        <v>0</v>
      </c>
      <c r="X66" s="99">
        <f t="shared" si="53"/>
        <v>16760</v>
      </c>
      <c r="Y66" s="96">
        <f t="shared" si="54"/>
        <v>4246</v>
      </c>
      <c r="Z66" s="96">
        <f t="shared" si="55"/>
        <v>0</v>
      </c>
      <c r="AA66" s="96">
        <f t="shared" si="56"/>
        <v>32893</v>
      </c>
      <c r="AB66" s="96">
        <f t="shared" si="57"/>
        <v>0</v>
      </c>
      <c r="AC66" s="96">
        <f t="shared" si="58"/>
        <v>0</v>
      </c>
      <c r="AD66" s="96">
        <f t="shared" si="59"/>
        <v>0</v>
      </c>
      <c r="AE66" s="100">
        <f t="shared" si="60"/>
        <v>53899</v>
      </c>
      <c r="AF66" s="101">
        <f t="shared" si="61"/>
        <v>195851</v>
      </c>
      <c r="AG66" s="100">
        <f t="shared" si="62"/>
        <v>0</v>
      </c>
      <c r="AH66" s="96">
        <f t="shared" si="63"/>
        <v>0</v>
      </c>
    </row>
    <row r="67" spans="1:34" s="92" customFormat="1" ht="20.100000000000001" customHeight="1" x14ac:dyDescent="0.25">
      <c r="A67" s="94">
        <v>58</v>
      </c>
      <c r="B67" s="132" t="s">
        <v>233</v>
      </c>
      <c r="C67" s="94" t="str">
        <f t="shared" si="32"/>
        <v xml:space="preserve">Ndihmës i Kryeministrit. </v>
      </c>
      <c r="D67" s="95" t="str">
        <f t="shared" si="33"/>
        <v>I-3</v>
      </c>
      <c r="E67" s="94">
        <f t="shared" si="34"/>
        <v>22</v>
      </c>
      <c r="F67" s="96">
        <f t="shared" si="35"/>
        <v>14000</v>
      </c>
      <c r="G67" s="96">
        <f t="shared" si="36"/>
        <v>205000</v>
      </c>
      <c r="H67" s="96">
        <f t="shared" si="37"/>
        <v>0</v>
      </c>
      <c r="I67" s="96">
        <f t="shared" si="38"/>
        <v>32800</v>
      </c>
      <c r="J67" s="96">
        <f t="shared" si="39"/>
        <v>0</v>
      </c>
      <c r="K67" s="96">
        <f t="shared" si="40"/>
        <v>0</v>
      </c>
      <c r="L67" s="96">
        <f t="shared" si="41"/>
        <v>0</v>
      </c>
      <c r="M67" s="96">
        <f t="shared" si="42"/>
        <v>0</v>
      </c>
      <c r="N67" s="96">
        <f t="shared" si="43"/>
        <v>0</v>
      </c>
      <c r="O67" s="96">
        <f t="shared" si="44"/>
        <v>0</v>
      </c>
      <c r="P67" s="96">
        <f t="shared" si="45"/>
        <v>0</v>
      </c>
      <c r="Q67" s="96">
        <f t="shared" si="46"/>
        <v>0</v>
      </c>
      <c r="R67" s="96">
        <f t="shared" si="47"/>
        <v>0</v>
      </c>
      <c r="S67" s="96">
        <f t="shared" si="48"/>
        <v>0</v>
      </c>
      <c r="T67" s="97">
        <f t="shared" si="49"/>
        <v>0</v>
      </c>
      <c r="U67" s="98">
        <f t="shared" si="50"/>
        <v>251800</v>
      </c>
      <c r="V67" s="99">
        <f t="shared" si="51"/>
        <v>0</v>
      </c>
      <c r="W67" s="99">
        <f t="shared" si="52"/>
        <v>0</v>
      </c>
      <c r="X67" s="99">
        <f t="shared" si="53"/>
        <v>16760</v>
      </c>
      <c r="Y67" s="96">
        <f t="shared" si="54"/>
        <v>4281</v>
      </c>
      <c r="Z67" s="96">
        <f t="shared" si="55"/>
        <v>0</v>
      </c>
      <c r="AA67" s="96">
        <f t="shared" si="56"/>
        <v>33364</v>
      </c>
      <c r="AB67" s="96">
        <f t="shared" si="57"/>
        <v>0</v>
      </c>
      <c r="AC67" s="96">
        <f t="shared" si="58"/>
        <v>0</v>
      </c>
      <c r="AD67" s="96">
        <f t="shared" si="59"/>
        <v>0</v>
      </c>
      <c r="AE67" s="100">
        <f t="shared" si="60"/>
        <v>54405</v>
      </c>
      <c r="AF67" s="101">
        <f t="shared" si="61"/>
        <v>197395</v>
      </c>
      <c r="AG67" s="100">
        <f t="shared" si="62"/>
        <v>0</v>
      </c>
      <c r="AH67" s="96">
        <f t="shared" si="63"/>
        <v>0</v>
      </c>
    </row>
    <row r="68" spans="1:34" s="92" customFormat="1" ht="20.100000000000001" customHeight="1" x14ac:dyDescent="0.25">
      <c r="A68" s="94">
        <v>59</v>
      </c>
      <c r="B68" s="132" t="s">
        <v>234</v>
      </c>
      <c r="C68" s="94" t="str">
        <f t="shared" si="32"/>
        <v xml:space="preserve">Ndihmës i Kryetarit të Kuvendit. </v>
      </c>
      <c r="D68" s="95" t="str">
        <f t="shared" si="33"/>
        <v>I-3</v>
      </c>
      <c r="E68" s="94">
        <f t="shared" si="34"/>
        <v>22</v>
      </c>
      <c r="F68" s="96">
        <f t="shared" si="35"/>
        <v>14000</v>
      </c>
      <c r="G68" s="96">
        <f t="shared" si="36"/>
        <v>205000</v>
      </c>
      <c r="H68" s="96">
        <f t="shared" si="37"/>
        <v>0</v>
      </c>
      <c r="I68" s="96">
        <f t="shared" si="38"/>
        <v>34850</v>
      </c>
      <c r="J68" s="96">
        <f t="shared" si="39"/>
        <v>0</v>
      </c>
      <c r="K68" s="96">
        <f t="shared" si="40"/>
        <v>0</v>
      </c>
      <c r="L68" s="96">
        <f t="shared" si="41"/>
        <v>0</v>
      </c>
      <c r="M68" s="96">
        <f t="shared" si="42"/>
        <v>0</v>
      </c>
      <c r="N68" s="96">
        <f t="shared" si="43"/>
        <v>0</v>
      </c>
      <c r="O68" s="96">
        <f t="shared" si="44"/>
        <v>0</v>
      </c>
      <c r="P68" s="96">
        <f t="shared" si="45"/>
        <v>0</v>
      </c>
      <c r="Q68" s="96">
        <f t="shared" si="46"/>
        <v>0</v>
      </c>
      <c r="R68" s="96">
        <f t="shared" si="47"/>
        <v>0</v>
      </c>
      <c r="S68" s="96">
        <f t="shared" si="48"/>
        <v>0</v>
      </c>
      <c r="T68" s="97">
        <f t="shared" si="49"/>
        <v>0</v>
      </c>
      <c r="U68" s="98">
        <f t="shared" si="50"/>
        <v>253850</v>
      </c>
      <c r="V68" s="99">
        <f t="shared" si="51"/>
        <v>0</v>
      </c>
      <c r="W68" s="99">
        <f t="shared" si="52"/>
        <v>0</v>
      </c>
      <c r="X68" s="99">
        <f t="shared" si="53"/>
        <v>16760</v>
      </c>
      <c r="Y68" s="96">
        <f t="shared" si="54"/>
        <v>4315</v>
      </c>
      <c r="Z68" s="96">
        <f t="shared" si="55"/>
        <v>0</v>
      </c>
      <c r="AA68" s="96">
        <f t="shared" si="56"/>
        <v>33836</v>
      </c>
      <c r="AB68" s="96">
        <f t="shared" si="57"/>
        <v>0</v>
      </c>
      <c r="AC68" s="96">
        <f t="shared" si="58"/>
        <v>0</v>
      </c>
      <c r="AD68" s="96">
        <f t="shared" si="59"/>
        <v>0</v>
      </c>
      <c r="AE68" s="100">
        <f t="shared" si="60"/>
        <v>54911</v>
      </c>
      <c r="AF68" s="101">
        <f t="shared" si="61"/>
        <v>198939</v>
      </c>
      <c r="AG68" s="100">
        <f t="shared" si="62"/>
        <v>0</v>
      </c>
      <c r="AH68" s="96">
        <f t="shared" si="63"/>
        <v>0</v>
      </c>
    </row>
    <row r="69" spans="1:34" s="92" customFormat="1" ht="20.100000000000001" customHeight="1" x14ac:dyDescent="0.25">
      <c r="A69" s="94">
        <v>60</v>
      </c>
      <c r="B69" s="132" t="s">
        <v>235</v>
      </c>
      <c r="C69" s="94" t="str">
        <f t="shared" si="32"/>
        <v xml:space="preserve">Këshilltar i Zëvendëskryeministrit. </v>
      </c>
      <c r="D69" s="95" t="str">
        <f t="shared" si="33"/>
        <v>I-3</v>
      </c>
      <c r="E69" s="94">
        <f t="shared" si="34"/>
        <v>22</v>
      </c>
      <c r="F69" s="96">
        <f t="shared" si="35"/>
        <v>14000</v>
      </c>
      <c r="G69" s="96">
        <f t="shared" si="36"/>
        <v>205000</v>
      </c>
      <c r="H69" s="96">
        <f t="shared" si="37"/>
        <v>0</v>
      </c>
      <c r="I69" s="96">
        <f t="shared" si="38"/>
        <v>36900</v>
      </c>
      <c r="J69" s="96">
        <f t="shared" si="39"/>
        <v>0</v>
      </c>
      <c r="K69" s="96">
        <f t="shared" si="40"/>
        <v>0</v>
      </c>
      <c r="L69" s="96">
        <f t="shared" si="41"/>
        <v>0</v>
      </c>
      <c r="M69" s="96">
        <f t="shared" si="42"/>
        <v>0</v>
      </c>
      <c r="N69" s="96">
        <f t="shared" si="43"/>
        <v>0</v>
      </c>
      <c r="O69" s="96">
        <f t="shared" si="44"/>
        <v>0</v>
      </c>
      <c r="P69" s="96">
        <f t="shared" si="45"/>
        <v>0</v>
      </c>
      <c r="Q69" s="96">
        <f t="shared" si="46"/>
        <v>0</v>
      </c>
      <c r="R69" s="96">
        <f t="shared" si="47"/>
        <v>0</v>
      </c>
      <c r="S69" s="96">
        <f t="shared" si="48"/>
        <v>0</v>
      </c>
      <c r="T69" s="97">
        <f t="shared" si="49"/>
        <v>0</v>
      </c>
      <c r="U69" s="98">
        <f t="shared" si="50"/>
        <v>255900</v>
      </c>
      <c r="V69" s="99">
        <f t="shared" si="51"/>
        <v>0</v>
      </c>
      <c r="W69" s="99">
        <f t="shared" si="52"/>
        <v>0</v>
      </c>
      <c r="X69" s="99">
        <f t="shared" si="53"/>
        <v>16760</v>
      </c>
      <c r="Y69" s="96">
        <f t="shared" si="54"/>
        <v>4350</v>
      </c>
      <c r="Z69" s="96">
        <f t="shared" si="55"/>
        <v>0</v>
      </c>
      <c r="AA69" s="96">
        <f t="shared" si="56"/>
        <v>34307</v>
      </c>
      <c r="AB69" s="96">
        <f t="shared" si="57"/>
        <v>0</v>
      </c>
      <c r="AC69" s="96">
        <f t="shared" si="58"/>
        <v>0</v>
      </c>
      <c r="AD69" s="96">
        <f t="shared" si="59"/>
        <v>0</v>
      </c>
      <c r="AE69" s="100">
        <f t="shared" si="60"/>
        <v>55417</v>
      </c>
      <c r="AF69" s="101">
        <f t="shared" si="61"/>
        <v>200483</v>
      </c>
      <c r="AG69" s="100">
        <f t="shared" si="62"/>
        <v>0</v>
      </c>
      <c r="AH69" s="96">
        <f t="shared" si="63"/>
        <v>0</v>
      </c>
    </row>
    <row r="70" spans="1:34" s="92" customFormat="1" ht="20.100000000000001" customHeight="1" x14ac:dyDescent="0.25">
      <c r="A70" s="94">
        <v>61</v>
      </c>
      <c r="B70" s="132" t="s">
        <v>236</v>
      </c>
      <c r="C70" s="94" t="str">
        <f t="shared" si="32"/>
        <v>Analist në kabinetin e Kryeministrit.</v>
      </c>
      <c r="D70" s="95" t="str">
        <f t="shared" si="33"/>
        <v>I-3</v>
      </c>
      <c r="E70" s="94">
        <f t="shared" si="34"/>
        <v>22</v>
      </c>
      <c r="F70" s="96">
        <f t="shared" si="35"/>
        <v>14000</v>
      </c>
      <c r="G70" s="96">
        <f t="shared" si="36"/>
        <v>205000</v>
      </c>
      <c r="H70" s="96">
        <f t="shared" si="37"/>
        <v>0</v>
      </c>
      <c r="I70" s="96">
        <f t="shared" si="38"/>
        <v>38950</v>
      </c>
      <c r="J70" s="96">
        <f t="shared" si="39"/>
        <v>0</v>
      </c>
      <c r="K70" s="96">
        <f t="shared" si="40"/>
        <v>0</v>
      </c>
      <c r="L70" s="96">
        <f t="shared" si="41"/>
        <v>0</v>
      </c>
      <c r="M70" s="96">
        <f t="shared" si="42"/>
        <v>0</v>
      </c>
      <c r="N70" s="96">
        <f t="shared" si="43"/>
        <v>0</v>
      </c>
      <c r="O70" s="96">
        <f t="shared" si="44"/>
        <v>0</v>
      </c>
      <c r="P70" s="96">
        <f t="shared" si="45"/>
        <v>0</v>
      </c>
      <c r="Q70" s="96">
        <f t="shared" si="46"/>
        <v>0</v>
      </c>
      <c r="R70" s="96">
        <f t="shared" si="47"/>
        <v>0</v>
      </c>
      <c r="S70" s="96">
        <f t="shared" si="48"/>
        <v>0</v>
      </c>
      <c r="T70" s="97">
        <f t="shared" si="49"/>
        <v>0</v>
      </c>
      <c r="U70" s="98">
        <f t="shared" si="50"/>
        <v>257950</v>
      </c>
      <c r="V70" s="99">
        <f t="shared" si="51"/>
        <v>0</v>
      </c>
      <c r="W70" s="99">
        <f t="shared" si="52"/>
        <v>0</v>
      </c>
      <c r="X70" s="99">
        <f t="shared" si="53"/>
        <v>16760</v>
      </c>
      <c r="Y70" s="96">
        <f t="shared" si="54"/>
        <v>4385</v>
      </c>
      <c r="Z70" s="96">
        <f t="shared" si="55"/>
        <v>0</v>
      </c>
      <c r="AA70" s="96">
        <f t="shared" si="56"/>
        <v>34779</v>
      </c>
      <c r="AB70" s="96">
        <f t="shared" si="57"/>
        <v>0</v>
      </c>
      <c r="AC70" s="96">
        <f t="shared" si="58"/>
        <v>0</v>
      </c>
      <c r="AD70" s="96">
        <f t="shared" si="59"/>
        <v>0</v>
      </c>
      <c r="AE70" s="100">
        <f t="shared" si="60"/>
        <v>55924</v>
      </c>
      <c r="AF70" s="101">
        <f t="shared" si="61"/>
        <v>202026</v>
      </c>
      <c r="AG70" s="100">
        <f t="shared" si="62"/>
        <v>0</v>
      </c>
      <c r="AH70" s="96">
        <f t="shared" si="63"/>
        <v>0</v>
      </c>
    </row>
    <row r="71" spans="1:34" s="92" customFormat="1" ht="20.100000000000001" customHeight="1" x14ac:dyDescent="0.25">
      <c r="A71" s="94">
        <v>62</v>
      </c>
      <c r="B71" s="132" t="s">
        <v>237</v>
      </c>
      <c r="C71" s="94" t="str">
        <f t="shared" si="32"/>
        <v xml:space="preserve">Ndihmës i Zëvendëskryeministrit. </v>
      </c>
      <c r="D71" s="95" t="str">
        <f t="shared" si="33"/>
        <v>I-4</v>
      </c>
      <c r="E71" s="94">
        <f t="shared" si="34"/>
        <v>22</v>
      </c>
      <c r="F71" s="96">
        <f t="shared" si="35"/>
        <v>14000</v>
      </c>
      <c r="G71" s="96">
        <f t="shared" si="36"/>
        <v>180000</v>
      </c>
      <c r="H71" s="96">
        <f t="shared" si="37"/>
        <v>0</v>
      </c>
      <c r="I71" s="96">
        <f t="shared" si="38"/>
        <v>36000</v>
      </c>
      <c r="J71" s="96">
        <f t="shared" si="39"/>
        <v>0</v>
      </c>
      <c r="K71" s="96">
        <f t="shared" si="40"/>
        <v>0</v>
      </c>
      <c r="L71" s="96">
        <f t="shared" si="41"/>
        <v>0</v>
      </c>
      <c r="M71" s="96">
        <f t="shared" si="42"/>
        <v>0</v>
      </c>
      <c r="N71" s="96">
        <f t="shared" si="43"/>
        <v>0</v>
      </c>
      <c r="O71" s="96">
        <f t="shared" si="44"/>
        <v>0</v>
      </c>
      <c r="P71" s="96">
        <f t="shared" si="45"/>
        <v>0</v>
      </c>
      <c r="Q71" s="96">
        <f t="shared" si="46"/>
        <v>0</v>
      </c>
      <c r="R71" s="96">
        <f t="shared" si="47"/>
        <v>0</v>
      </c>
      <c r="S71" s="96">
        <f t="shared" si="48"/>
        <v>0</v>
      </c>
      <c r="T71" s="97">
        <f t="shared" si="49"/>
        <v>0</v>
      </c>
      <c r="U71" s="98">
        <f t="shared" si="50"/>
        <v>230000</v>
      </c>
      <c r="V71" s="99">
        <f t="shared" si="51"/>
        <v>0</v>
      </c>
      <c r="W71" s="99">
        <f t="shared" si="52"/>
        <v>0</v>
      </c>
      <c r="X71" s="99">
        <f t="shared" si="53"/>
        <v>16760</v>
      </c>
      <c r="Y71" s="96">
        <f t="shared" si="54"/>
        <v>3910</v>
      </c>
      <c r="Z71" s="96">
        <f t="shared" si="55"/>
        <v>0</v>
      </c>
      <c r="AA71" s="96">
        <f t="shared" si="56"/>
        <v>28350</v>
      </c>
      <c r="AB71" s="96">
        <f t="shared" si="57"/>
        <v>0</v>
      </c>
      <c r="AC71" s="96">
        <f t="shared" si="58"/>
        <v>0</v>
      </c>
      <c r="AD71" s="96">
        <f t="shared" si="59"/>
        <v>0</v>
      </c>
      <c r="AE71" s="100">
        <f t="shared" si="60"/>
        <v>49020</v>
      </c>
      <c r="AF71" s="101">
        <f t="shared" si="61"/>
        <v>180980</v>
      </c>
      <c r="AG71" s="100">
        <f t="shared" si="62"/>
        <v>0</v>
      </c>
      <c r="AH71" s="96">
        <f t="shared" si="63"/>
        <v>0</v>
      </c>
    </row>
    <row r="72" spans="1:34" s="92" customFormat="1" ht="20.100000000000001" customHeight="1" x14ac:dyDescent="0.25">
      <c r="A72" s="94">
        <v>63</v>
      </c>
      <c r="B72" s="132" t="s">
        <v>238</v>
      </c>
      <c r="C72" s="94" t="str">
        <f t="shared" si="32"/>
        <v xml:space="preserve">Ndihmës i Nënkryetarit të Kuvendit. </v>
      </c>
      <c r="D72" s="95" t="str">
        <f t="shared" si="33"/>
        <v>I-4</v>
      </c>
      <c r="E72" s="94">
        <f t="shared" si="34"/>
        <v>22</v>
      </c>
      <c r="F72" s="96">
        <f t="shared" si="35"/>
        <v>14000</v>
      </c>
      <c r="G72" s="96">
        <f t="shared" si="36"/>
        <v>180000</v>
      </c>
      <c r="H72" s="96">
        <f t="shared" si="37"/>
        <v>0</v>
      </c>
      <c r="I72" s="96">
        <f t="shared" si="38"/>
        <v>37800</v>
      </c>
      <c r="J72" s="96">
        <f t="shared" si="39"/>
        <v>0</v>
      </c>
      <c r="K72" s="96">
        <f t="shared" si="40"/>
        <v>0</v>
      </c>
      <c r="L72" s="96">
        <f t="shared" si="41"/>
        <v>0</v>
      </c>
      <c r="M72" s="96">
        <f t="shared" si="42"/>
        <v>0</v>
      </c>
      <c r="N72" s="96">
        <f t="shared" si="43"/>
        <v>0</v>
      </c>
      <c r="O72" s="96">
        <f t="shared" si="44"/>
        <v>0</v>
      </c>
      <c r="P72" s="96">
        <f t="shared" si="45"/>
        <v>0</v>
      </c>
      <c r="Q72" s="96">
        <f t="shared" si="46"/>
        <v>0</v>
      </c>
      <c r="R72" s="96">
        <f t="shared" si="47"/>
        <v>0</v>
      </c>
      <c r="S72" s="96">
        <f t="shared" si="48"/>
        <v>0</v>
      </c>
      <c r="T72" s="97">
        <f t="shared" si="49"/>
        <v>0</v>
      </c>
      <c r="U72" s="98">
        <f t="shared" si="50"/>
        <v>231800</v>
      </c>
      <c r="V72" s="99">
        <f t="shared" si="51"/>
        <v>0</v>
      </c>
      <c r="W72" s="99">
        <f t="shared" si="52"/>
        <v>0</v>
      </c>
      <c r="X72" s="99">
        <f t="shared" si="53"/>
        <v>16760</v>
      </c>
      <c r="Y72" s="96">
        <f t="shared" si="54"/>
        <v>3941</v>
      </c>
      <c r="Z72" s="96">
        <f t="shared" si="55"/>
        <v>0</v>
      </c>
      <c r="AA72" s="96">
        <f t="shared" si="56"/>
        <v>28764</v>
      </c>
      <c r="AB72" s="96">
        <f t="shared" si="57"/>
        <v>0</v>
      </c>
      <c r="AC72" s="96">
        <f t="shared" si="58"/>
        <v>0</v>
      </c>
      <c r="AD72" s="96">
        <f t="shared" si="59"/>
        <v>0</v>
      </c>
      <c r="AE72" s="100">
        <f t="shared" si="60"/>
        <v>49465</v>
      </c>
      <c r="AF72" s="101">
        <f t="shared" si="61"/>
        <v>182335</v>
      </c>
      <c r="AG72" s="100">
        <f t="shared" si="62"/>
        <v>0</v>
      </c>
      <c r="AH72" s="96">
        <f t="shared" si="63"/>
        <v>0</v>
      </c>
    </row>
    <row r="73" spans="1:34" s="92" customFormat="1" ht="20.100000000000001" customHeight="1" x14ac:dyDescent="0.25">
      <c r="A73" s="94">
        <v>64</v>
      </c>
      <c r="B73" s="132" t="s">
        <v>239</v>
      </c>
      <c r="C73" s="94" t="str">
        <f t="shared" si="32"/>
        <v xml:space="preserve">Këshilltar i ministrit. </v>
      </c>
      <c r="D73" s="95" t="str">
        <f t="shared" si="33"/>
        <v>I-4</v>
      </c>
      <c r="E73" s="94">
        <f t="shared" si="34"/>
        <v>22</v>
      </c>
      <c r="F73" s="96">
        <f t="shared" si="35"/>
        <v>14000</v>
      </c>
      <c r="G73" s="96">
        <f t="shared" si="36"/>
        <v>180000</v>
      </c>
      <c r="H73" s="96">
        <f t="shared" si="37"/>
        <v>0</v>
      </c>
      <c r="I73" s="96">
        <f t="shared" si="38"/>
        <v>39600</v>
      </c>
      <c r="J73" s="96">
        <f t="shared" si="39"/>
        <v>0</v>
      </c>
      <c r="K73" s="96">
        <f t="shared" si="40"/>
        <v>0</v>
      </c>
      <c r="L73" s="96">
        <f t="shared" si="41"/>
        <v>0</v>
      </c>
      <c r="M73" s="96">
        <f t="shared" si="42"/>
        <v>0</v>
      </c>
      <c r="N73" s="96">
        <f t="shared" si="43"/>
        <v>0</v>
      </c>
      <c r="O73" s="96">
        <f t="shared" si="44"/>
        <v>0</v>
      </c>
      <c r="P73" s="96">
        <f t="shared" si="45"/>
        <v>0</v>
      </c>
      <c r="Q73" s="96">
        <f t="shared" si="46"/>
        <v>0</v>
      </c>
      <c r="R73" s="96">
        <f t="shared" si="47"/>
        <v>0</v>
      </c>
      <c r="S73" s="96">
        <f t="shared" si="48"/>
        <v>0</v>
      </c>
      <c r="T73" s="97">
        <f t="shared" si="49"/>
        <v>0</v>
      </c>
      <c r="U73" s="98">
        <f t="shared" si="50"/>
        <v>233600</v>
      </c>
      <c r="V73" s="99">
        <f t="shared" si="51"/>
        <v>0</v>
      </c>
      <c r="W73" s="99">
        <f t="shared" si="52"/>
        <v>0</v>
      </c>
      <c r="X73" s="99">
        <f t="shared" si="53"/>
        <v>16760</v>
      </c>
      <c r="Y73" s="96">
        <f t="shared" si="54"/>
        <v>3971</v>
      </c>
      <c r="Z73" s="96">
        <f t="shared" si="55"/>
        <v>0</v>
      </c>
      <c r="AA73" s="96">
        <f t="shared" si="56"/>
        <v>29178</v>
      </c>
      <c r="AB73" s="96">
        <f t="shared" si="57"/>
        <v>0</v>
      </c>
      <c r="AC73" s="96">
        <f t="shared" si="58"/>
        <v>0</v>
      </c>
      <c r="AD73" s="96">
        <f t="shared" si="59"/>
        <v>0</v>
      </c>
      <c r="AE73" s="100">
        <f t="shared" si="60"/>
        <v>49909</v>
      </c>
      <c r="AF73" s="101">
        <f t="shared" si="61"/>
        <v>183691</v>
      </c>
      <c r="AG73" s="100">
        <f t="shared" si="62"/>
        <v>0</v>
      </c>
      <c r="AH73" s="96">
        <f t="shared" si="63"/>
        <v>0</v>
      </c>
    </row>
    <row r="74" spans="1:34" s="92" customFormat="1" ht="20.100000000000001" customHeight="1" x14ac:dyDescent="0.25">
      <c r="A74" s="94">
        <v>65</v>
      </c>
      <c r="B74" s="132" t="s">
        <v>240</v>
      </c>
      <c r="C74" s="94" t="str">
        <f t="shared" ref="C74:C103" si="64">VLOOKUP($B74,llog_organike,4,FALSE)</f>
        <v>Këshilltar i titullarëve të institucioneve të tjera të pavarura të përmendura në shkronjën “a”, të pikës 1, të kreut I, të këtij vendimi.</v>
      </c>
      <c r="D74" s="95" t="str">
        <f t="shared" ref="D74:D103" si="65">VLOOKUP($B74,llog_organike,5,FALSE)</f>
        <v>I-4</v>
      </c>
      <c r="E74" s="94">
        <f t="shared" ref="E74:E103" si="66">VLOOKUP($B74,llog_organike,6,FALSE)</f>
        <v>22</v>
      </c>
      <c r="F74" s="96">
        <f t="shared" ref="F74:F103" si="67">VLOOKUP($B74,llog_organike,10,FALSE)</f>
        <v>14000</v>
      </c>
      <c r="G74" s="96">
        <f t="shared" ref="G74:G103" si="68">VLOOKUP($B74,llog_organike,13,FALSE)</f>
        <v>180000</v>
      </c>
      <c r="H74" s="96">
        <f t="shared" ref="H74:H103" si="69">VLOOKUP($B74,llog_organike,15,FALSE)</f>
        <v>0</v>
      </c>
      <c r="I74" s="96">
        <f t="shared" ref="I74:I103" si="70">VLOOKUP($B74,llog_organike,19,FALSE)</f>
        <v>41400</v>
      </c>
      <c r="J74" s="96">
        <f t="shared" ref="J74:J103" si="71">VLOOKUP($B74,llog_organike,21,FALSE)</f>
        <v>0</v>
      </c>
      <c r="K74" s="96">
        <f t="shared" ref="K74:K103" si="72">VLOOKUP($B74,llog_organike,23,FALSE)</f>
        <v>0</v>
      </c>
      <c r="L74" s="96">
        <f t="shared" ref="L74:L103" si="73">VLOOKUP($B74,llog_organike,25,FALSE)</f>
        <v>0</v>
      </c>
      <c r="M74" s="96">
        <f t="shared" ref="M74:M103" si="74">VLOOKUP($B74,llog_organike,27,FALSE)</f>
        <v>0</v>
      </c>
      <c r="N74" s="96">
        <f t="shared" ref="N74:N103" si="75">VLOOKUP($B74,llog_organike,29,FALSE)</f>
        <v>0</v>
      </c>
      <c r="O74" s="96">
        <f t="shared" ref="O74:O103" si="76">VLOOKUP($B74,llog_organike,30,FALSE)</f>
        <v>0</v>
      </c>
      <c r="P74" s="96">
        <f t="shared" ref="P74:P103" si="77">VLOOKUP($B74,llog_organike,31,FALSE)</f>
        <v>0</v>
      </c>
      <c r="Q74" s="96">
        <f t="shared" ref="Q74:Q103" si="78">VLOOKUP($B74,llog_organike,32,FALSE)</f>
        <v>0</v>
      </c>
      <c r="R74" s="96">
        <f t="shared" ref="R74:R103" si="79">VLOOKUP($B74,llog_organike,33,FALSE)</f>
        <v>0</v>
      </c>
      <c r="S74" s="96">
        <f t="shared" ref="S74:S103" si="80">VLOOKUP($B74,llog_organike,34,FALSE)</f>
        <v>0</v>
      </c>
      <c r="T74" s="97">
        <f t="shared" ref="T74:T103" si="81">VLOOKUP($B74,llog_organike,35,FALSE)</f>
        <v>0</v>
      </c>
      <c r="U74" s="98">
        <f t="shared" ref="U74:U103" si="82">VLOOKUP($B74,llog_organike,36,FALSE)</f>
        <v>235400</v>
      </c>
      <c r="V74" s="99">
        <f t="shared" ref="V74:V103" si="83">VLOOKUP($B74,llog_organike,37,FALSE)</f>
        <v>0</v>
      </c>
      <c r="W74" s="99">
        <f t="shared" ref="W74:W103" si="84">VLOOKUP($B74,llog_organike,38,FALSE)</f>
        <v>0</v>
      </c>
      <c r="X74" s="99">
        <f t="shared" ref="X74:X103" si="85">VLOOKUP($B74,llog_organike,39,FALSE)</f>
        <v>16760</v>
      </c>
      <c r="Y74" s="96">
        <f t="shared" ref="Y74:Y103" si="86">VLOOKUP($B74,llog_organike,40,FALSE)</f>
        <v>4002</v>
      </c>
      <c r="Z74" s="96">
        <f t="shared" ref="Z74:Z103" si="87">VLOOKUP($B74,llog_organike,42,FALSE)</f>
        <v>0</v>
      </c>
      <c r="AA74" s="96">
        <f t="shared" ref="AA74:AA103" si="88">VLOOKUP($B74,llog_organike,43,FALSE)</f>
        <v>29592</v>
      </c>
      <c r="AB74" s="96">
        <f t="shared" ref="AB74:AB103" si="89">VLOOKUP($B74,llog_organike,44,FALSE)</f>
        <v>0</v>
      </c>
      <c r="AC74" s="96">
        <f t="shared" ref="AC74:AC103" si="90">VLOOKUP($B74,llog_organike,45,FALSE)</f>
        <v>0</v>
      </c>
      <c r="AD74" s="96">
        <f t="shared" ref="AD74:AD103" si="91">VLOOKUP($B74,llog_organike,46,FALSE)</f>
        <v>0</v>
      </c>
      <c r="AE74" s="100">
        <f t="shared" ref="AE74:AE103" si="92">VLOOKUP($B74,llog_organike,47,FALSE)</f>
        <v>50354</v>
      </c>
      <c r="AF74" s="101">
        <f t="shared" ref="AF74:AF103" si="93">VLOOKUP($B74,llog_organike,48,FALSE)</f>
        <v>185046</v>
      </c>
      <c r="AG74" s="100">
        <f t="shared" ref="AG74:AG103" si="94">VLOOKUP($B74,llog_organike,49,FALSE)</f>
        <v>0</v>
      </c>
      <c r="AH74" s="96">
        <f t="shared" ref="AH74:AH103" si="95">VLOOKUP($B74,llog_organike,50,FALSE)</f>
        <v>0</v>
      </c>
    </row>
    <row r="75" spans="1:34" s="92" customFormat="1" ht="20.100000000000001" customHeight="1" x14ac:dyDescent="0.25">
      <c r="A75" s="94">
        <v>66</v>
      </c>
      <c r="B75" s="132" t="s">
        <v>241</v>
      </c>
      <c r="C75" s="94" t="str">
        <f t="shared" si="64"/>
        <v>Zëdhënës i titullarëve të institucioneve të pavarura të përmendura në shkronjën “a”, të pikës 1, të kreut I, të këtij vendimi..</v>
      </c>
      <c r="D75" s="95" t="str">
        <f t="shared" si="65"/>
        <v>I-4</v>
      </c>
      <c r="E75" s="94">
        <f t="shared" si="66"/>
        <v>22</v>
      </c>
      <c r="F75" s="96">
        <f t="shared" si="67"/>
        <v>14000</v>
      </c>
      <c r="G75" s="96">
        <f t="shared" si="68"/>
        <v>180000</v>
      </c>
      <c r="H75" s="96">
        <f t="shared" si="69"/>
        <v>0</v>
      </c>
      <c r="I75" s="96">
        <f t="shared" si="70"/>
        <v>43200</v>
      </c>
      <c r="J75" s="96">
        <f t="shared" si="71"/>
        <v>0</v>
      </c>
      <c r="K75" s="96">
        <f t="shared" si="72"/>
        <v>0</v>
      </c>
      <c r="L75" s="96">
        <f t="shared" si="73"/>
        <v>0</v>
      </c>
      <c r="M75" s="96">
        <f t="shared" si="74"/>
        <v>0</v>
      </c>
      <c r="N75" s="96">
        <f t="shared" si="75"/>
        <v>0</v>
      </c>
      <c r="O75" s="96">
        <f t="shared" si="76"/>
        <v>0</v>
      </c>
      <c r="P75" s="96">
        <f t="shared" si="77"/>
        <v>0</v>
      </c>
      <c r="Q75" s="96">
        <f t="shared" si="78"/>
        <v>0</v>
      </c>
      <c r="R75" s="96">
        <f t="shared" si="79"/>
        <v>0</v>
      </c>
      <c r="S75" s="96">
        <f t="shared" si="80"/>
        <v>0</v>
      </c>
      <c r="T75" s="97">
        <f t="shared" si="81"/>
        <v>0</v>
      </c>
      <c r="U75" s="98">
        <f t="shared" si="82"/>
        <v>237200</v>
      </c>
      <c r="V75" s="99">
        <f t="shared" si="83"/>
        <v>0</v>
      </c>
      <c r="W75" s="99">
        <f t="shared" si="84"/>
        <v>0</v>
      </c>
      <c r="X75" s="99">
        <f t="shared" si="85"/>
        <v>16760</v>
      </c>
      <c r="Y75" s="96">
        <f t="shared" si="86"/>
        <v>4032</v>
      </c>
      <c r="Z75" s="96">
        <f t="shared" si="87"/>
        <v>0</v>
      </c>
      <c r="AA75" s="96">
        <f t="shared" si="88"/>
        <v>30006</v>
      </c>
      <c r="AB75" s="96">
        <f t="shared" si="89"/>
        <v>0</v>
      </c>
      <c r="AC75" s="96">
        <f t="shared" si="90"/>
        <v>0</v>
      </c>
      <c r="AD75" s="96">
        <f t="shared" si="91"/>
        <v>0</v>
      </c>
      <c r="AE75" s="100">
        <f t="shared" si="92"/>
        <v>50798</v>
      </c>
      <c r="AF75" s="101">
        <f t="shared" si="93"/>
        <v>186402</v>
      </c>
      <c r="AG75" s="100">
        <f t="shared" si="94"/>
        <v>0</v>
      </c>
      <c r="AH75" s="96">
        <f t="shared" si="95"/>
        <v>0</v>
      </c>
    </row>
    <row r="76" spans="1:34" s="92" customFormat="1" ht="20.100000000000001" customHeight="1" x14ac:dyDescent="0.25">
      <c r="A76" s="94">
        <v>67</v>
      </c>
      <c r="B76" s="132" t="s">
        <v>242</v>
      </c>
      <c r="C76" s="94" t="str">
        <f t="shared" si="64"/>
        <v>Zëvendësministër.</v>
      </c>
      <c r="D76" s="95" t="str">
        <f t="shared" si="65"/>
        <v>JK</v>
      </c>
      <c r="E76" s="94">
        <f t="shared" si="66"/>
        <v>22</v>
      </c>
      <c r="F76" s="96">
        <f t="shared" si="67"/>
        <v>0</v>
      </c>
      <c r="G76" s="96">
        <f t="shared" si="68"/>
        <v>270938</v>
      </c>
      <c r="H76" s="96">
        <f t="shared" si="69"/>
        <v>0</v>
      </c>
      <c r="I76" s="96">
        <f t="shared" si="70"/>
        <v>0</v>
      </c>
      <c r="J76" s="96">
        <f t="shared" si="71"/>
        <v>0</v>
      </c>
      <c r="K76" s="96">
        <f t="shared" si="72"/>
        <v>0</v>
      </c>
      <c r="L76" s="96">
        <f t="shared" si="73"/>
        <v>0</v>
      </c>
      <c r="M76" s="96">
        <f t="shared" si="74"/>
        <v>0</v>
      </c>
      <c r="N76" s="96">
        <f t="shared" si="75"/>
        <v>0</v>
      </c>
      <c r="O76" s="96">
        <f t="shared" si="76"/>
        <v>0</v>
      </c>
      <c r="P76" s="96">
        <f t="shared" si="77"/>
        <v>0</v>
      </c>
      <c r="Q76" s="96">
        <f t="shared" si="78"/>
        <v>0</v>
      </c>
      <c r="R76" s="96">
        <f t="shared" si="79"/>
        <v>0</v>
      </c>
      <c r="S76" s="96">
        <f t="shared" si="80"/>
        <v>0</v>
      </c>
      <c r="T76" s="97">
        <f t="shared" si="81"/>
        <v>0</v>
      </c>
      <c r="U76" s="98">
        <f t="shared" si="82"/>
        <v>270938</v>
      </c>
      <c r="V76" s="99">
        <f t="shared" si="83"/>
        <v>0</v>
      </c>
      <c r="W76" s="99">
        <f t="shared" si="84"/>
        <v>0</v>
      </c>
      <c r="X76" s="99">
        <f t="shared" si="85"/>
        <v>16760</v>
      </c>
      <c r="Y76" s="96">
        <f t="shared" si="86"/>
        <v>4606</v>
      </c>
      <c r="Z76" s="96">
        <f t="shared" si="87"/>
        <v>0</v>
      </c>
      <c r="AA76" s="96">
        <f t="shared" si="88"/>
        <v>37766</v>
      </c>
      <c r="AB76" s="96">
        <f t="shared" si="89"/>
        <v>0</v>
      </c>
      <c r="AC76" s="96">
        <f t="shared" si="90"/>
        <v>0</v>
      </c>
      <c r="AD76" s="96">
        <f t="shared" si="91"/>
        <v>0</v>
      </c>
      <c r="AE76" s="100">
        <f t="shared" si="92"/>
        <v>59132</v>
      </c>
      <c r="AF76" s="101">
        <f t="shared" si="93"/>
        <v>211806</v>
      </c>
      <c r="AG76" s="100">
        <f t="shared" si="94"/>
        <v>0</v>
      </c>
      <c r="AH76" s="96">
        <f t="shared" si="95"/>
        <v>0</v>
      </c>
    </row>
    <row r="77" spans="1:34" s="92" customFormat="1" ht="20.100000000000001" customHeight="1" x14ac:dyDescent="0.25">
      <c r="A77" s="94">
        <v>68</v>
      </c>
      <c r="B77" s="132" t="s">
        <v>243</v>
      </c>
      <c r="C77" s="94" t="str">
        <f t="shared" si="64"/>
        <v>Prefekt.</v>
      </c>
      <c r="D77" s="95" t="str">
        <f t="shared" si="65"/>
        <v>JK</v>
      </c>
      <c r="E77" s="94">
        <f t="shared" si="66"/>
        <v>22</v>
      </c>
      <c r="F77" s="96">
        <f t="shared" si="67"/>
        <v>0</v>
      </c>
      <c r="G77" s="96">
        <f t="shared" si="68"/>
        <v>205000</v>
      </c>
      <c r="H77" s="96">
        <f t="shared" si="69"/>
        <v>0</v>
      </c>
      <c r="I77" s="96">
        <f t="shared" si="70"/>
        <v>0</v>
      </c>
      <c r="J77" s="96">
        <f t="shared" si="71"/>
        <v>0</v>
      </c>
      <c r="K77" s="96">
        <f t="shared" si="72"/>
        <v>0</v>
      </c>
      <c r="L77" s="96">
        <f t="shared" si="73"/>
        <v>0</v>
      </c>
      <c r="M77" s="96">
        <f t="shared" si="74"/>
        <v>0</v>
      </c>
      <c r="N77" s="96">
        <f t="shared" si="75"/>
        <v>0</v>
      </c>
      <c r="O77" s="96">
        <f t="shared" si="76"/>
        <v>0</v>
      </c>
      <c r="P77" s="96">
        <f t="shared" si="77"/>
        <v>0</v>
      </c>
      <c r="Q77" s="96">
        <f t="shared" si="78"/>
        <v>0</v>
      </c>
      <c r="R77" s="96">
        <f t="shared" si="79"/>
        <v>0</v>
      </c>
      <c r="S77" s="96">
        <f t="shared" si="80"/>
        <v>0</v>
      </c>
      <c r="T77" s="97">
        <f t="shared" si="81"/>
        <v>0</v>
      </c>
      <c r="U77" s="98">
        <f t="shared" si="82"/>
        <v>205000</v>
      </c>
      <c r="V77" s="99">
        <f t="shared" si="83"/>
        <v>0</v>
      </c>
      <c r="W77" s="99">
        <f t="shared" si="84"/>
        <v>0</v>
      </c>
      <c r="X77" s="99">
        <f t="shared" si="85"/>
        <v>16760</v>
      </c>
      <c r="Y77" s="96">
        <f t="shared" si="86"/>
        <v>3485</v>
      </c>
      <c r="Z77" s="96">
        <f t="shared" si="87"/>
        <v>0</v>
      </c>
      <c r="AA77" s="96">
        <f t="shared" si="88"/>
        <v>22600</v>
      </c>
      <c r="AB77" s="96">
        <f t="shared" si="89"/>
        <v>0</v>
      </c>
      <c r="AC77" s="96">
        <f t="shared" si="90"/>
        <v>0</v>
      </c>
      <c r="AD77" s="96">
        <f t="shared" si="91"/>
        <v>0</v>
      </c>
      <c r="AE77" s="100">
        <f t="shared" si="92"/>
        <v>42845</v>
      </c>
      <c r="AF77" s="101">
        <f t="shared" si="93"/>
        <v>162155</v>
      </c>
      <c r="AG77" s="100">
        <f t="shared" si="94"/>
        <v>0</v>
      </c>
      <c r="AH77" s="96">
        <f t="shared" si="95"/>
        <v>0</v>
      </c>
    </row>
    <row r="78" spans="1:34" s="92" customFormat="1" ht="20.100000000000001" customHeight="1" x14ac:dyDescent="0.25">
      <c r="A78" s="94">
        <v>69</v>
      </c>
      <c r="B78" s="132" t="s">
        <v>244</v>
      </c>
      <c r="C78" s="94" t="str">
        <f t="shared" si="64"/>
        <v>Nënprefekt.</v>
      </c>
      <c r="D78" s="95" t="str">
        <f t="shared" si="65"/>
        <v>JK</v>
      </c>
      <c r="E78" s="94">
        <f t="shared" si="66"/>
        <v>22</v>
      </c>
      <c r="F78" s="96">
        <f t="shared" si="67"/>
        <v>0</v>
      </c>
      <c r="G78" s="96">
        <f t="shared" si="68"/>
        <v>170000</v>
      </c>
      <c r="H78" s="96">
        <f t="shared" si="69"/>
        <v>0</v>
      </c>
      <c r="I78" s="96">
        <f t="shared" si="70"/>
        <v>0</v>
      </c>
      <c r="J78" s="96">
        <f t="shared" si="71"/>
        <v>0</v>
      </c>
      <c r="K78" s="96">
        <f t="shared" si="72"/>
        <v>0</v>
      </c>
      <c r="L78" s="96">
        <f t="shared" si="73"/>
        <v>0</v>
      </c>
      <c r="M78" s="96">
        <f t="shared" si="74"/>
        <v>0</v>
      </c>
      <c r="N78" s="96">
        <f t="shared" si="75"/>
        <v>0</v>
      </c>
      <c r="O78" s="96">
        <f t="shared" si="76"/>
        <v>0</v>
      </c>
      <c r="P78" s="96">
        <f t="shared" si="77"/>
        <v>0</v>
      </c>
      <c r="Q78" s="96">
        <f t="shared" si="78"/>
        <v>0</v>
      </c>
      <c r="R78" s="96">
        <f t="shared" si="79"/>
        <v>0</v>
      </c>
      <c r="S78" s="96">
        <f t="shared" si="80"/>
        <v>0</v>
      </c>
      <c r="T78" s="97">
        <f t="shared" si="81"/>
        <v>0</v>
      </c>
      <c r="U78" s="98">
        <f t="shared" si="82"/>
        <v>170000</v>
      </c>
      <c r="V78" s="99">
        <f t="shared" si="83"/>
        <v>0</v>
      </c>
      <c r="W78" s="99">
        <f t="shared" si="84"/>
        <v>0</v>
      </c>
      <c r="X78" s="99">
        <f t="shared" si="85"/>
        <v>16150</v>
      </c>
      <c r="Y78" s="96">
        <f t="shared" si="86"/>
        <v>2890</v>
      </c>
      <c r="Z78" s="96">
        <f t="shared" si="87"/>
        <v>0</v>
      </c>
      <c r="AA78" s="96">
        <f t="shared" si="88"/>
        <v>18200</v>
      </c>
      <c r="AB78" s="96">
        <f t="shared" si="89"/>
        <v>0</v>
      </c>
      <c r="AC78" s="96">
        <f t="shared" si="90"/>
        <v>0</v>
      </c>
      <c r="AD78" s="96">
        <f t="shared" si="91"/>
        <v>0</v>
      </c>
      <c r="AE78" s="100">
        <f t="shared" si="92"/>
        <v>37240</v>
      </c>
      <c r="AF78" s="101">
        <f t="shared" si="93"/>
        <v>132760</v>
      </c>
      <c r="AG78" s="100">
        <f t="shared" si="94"/>
        <v>0</v>
      </c>
      <c r="AH78" s="96">
        <f t="shared" si="95"/>
        <v>0</v>
      </c>
    </row>
    <row r="79" spans="1:34" s="92" customFormat="1" ht="20.100000000000001" customHeight="1" x14ac:dyDescent="0.25">
      <c r="A79" s="94">
        <v>70</v>
      </c>
      <c r="B79" s="132" t="s">
        <v>245</v>
      </c>
      <c r="C79" s="94" t="str">
        <f t="shared" si="64"/>
        <v xml:space="preserve">Sekretar i Presidentit. </v>
      </c>
      <c r="D79" s="95" t="str">
        <f t="shared" si="65"/>
        <v>JK</v>
      </c>
      <c r="E79" s="94">
        <f t="shared" si="66"/>
        <v>22</v>
      </c>
      <c r="F79" s="96">
        <f t="shared" si="67"/>
        <v>0</v>
      </c>
      <c r="G79" s="96">
        <f t="shared" si="68"/>
        <v>90000</v>
      </c>
      <c r="H79" s="96">
        <f t="shared" si="69"/>
        <v>0</v>
      </c>
      <c r="I79" s="96">
        <f t="shared" si="70"/>
        <v>540</v>
      </c>
      <c r="J79" s="96">
        <f t="shared" si="71"/>
        <v>0</v>
      </c>
      <c r="K79" s="96">
        <f t="shared" si="72"/>
        <v>0</v>
      </c>
      <c r="L79" s="96">
        <f t="shared" si="73"/>
        <v>0</v>
      </c>
      <c r="M79" s="96">
        <f t="shared" si="74"/>
        <v>0</v>
      </c>
      <c r="N79" s="96">
        <f t="shared" si="75"/>
        <v>0</v>
      </c>
      <c r="O79" s="96">
        <f t="shared" si="76"/>
        <v>0</v>
      </c>
      <c r="P79" s="96">
        <f t="shared" si="77"/>
        <v>0</v>
      </c>
      <c r="Q79" s="96">
        <f t="shared" si="78"/>
        <v>0</v>
      </c>
      <c r="R79" s="96">
        <f t="shared" si="79"/>
        <v>0</v>
      </c>
      <c r="S79" s="96">
        <f t="shared" si="80"/>
        <v>0</v>
      </c>
      <c r="T79" s="97">
        <f t="shared" si="81"/>
        <v>0</v>
      </c>
      <c r="U79" s="98">
        <f t="shared" si="82"/>
        <v>90540</v>
      </c>
      <c r="V79" s="99">
        <f t="shared" si="83"/>
        <v>0</v>
      </c>
      <c r="W79" s="99">
        <f t="shared" si="84"/>
        <v>0</v>
      </c>
      <c r="X79" s="99">
        <f t="shared" si="85"/>
        <v>8601</v>
      </c>
      <c r="Y79" s="96">
        <f t="shared" si="86"/>
        <v>1539</v>
      </c>
      <c r="Z79" s="96">
        <f t="shared" si="87"/>
        <v>0</v>
      </c>
      <c r="AA79" s="96">
        <f t="shared" si="88"/>
        <v>7870</v>
      </c>
      <c r="AB79" s="96">
        <f t="shared" si="89"/>
        <v>0</v>
      </c>
      <c r="AC79" s="96">
        <f t="shared" si="90"/>
        <v>0</v>
      </c>
      <c r="AD79" s="96">
        <f t="shared" si="91"/>
        <v>0</v>
      </c>
      <c r="AE79" s="100">
        <f t="shared" si="92"/>
        <v>18010</v>
      </c>
      <c r="AF79" s="101">
        <f t="shared" si="93"/>
        <v>72530</v>
      </c>
      <c r="AG79" s="100">
        <f t="shared" si="94"/>
        <v>0</v>
      </c>
      <c r="AH79" s="96">
        <f t="shared" si="95"/>
        <v>0</v>
      </c>
    </row>
    <row r="80" spans="1:34" s="92" customFormat="1" ht="20.100000000000001" customHeight="1" x14ac:dyDescent="0.25">
      <c r="A80" s="94">
        <v>71</v>
      </c>
      <c r="B80" s="132" t="s">
        <v>246</v>
      </c>
      <c r="C80" s="94" t="str">
        <f t="shared" si="64"/>
        <v xml:space="preserve">Sekretar i Kryeministrit. </v>
      </c>
      <c r="D80" s="95" t="str">
        <f t="shared" si="65"/>
        <v>JK</v>
      </c>
      <c r="E80" s="94">
        <f t="shared" si="66"/>
        <v>22</v>
      </c>
      <c r="F80" s="96">
        <f t="shared" si="67"/>
        <v>0</v>
      </c>
      <c r="G80" s="96">
        <f t="shared" si="68"/>
        <v>90000</v>
      </c>
      <c r="H80" s="96">
        <f t="shared" si="69"/>
        <v>0</v>
      </c>
      <c r="I80" s="96">
        <f t="shared" si="70"/>
        <v>1080</v>
      </c>
      <c r="J80" s="96">
        <f t="shared" si="71"/>
        <v>0</v>
      </c>
      <c r="K80" s="96">
        <f t="shared" si="72"/>
        <v>0</v>
      </c>
      <c r="L80" s="96">
        <f t="shared" si="73"/>
        <v>0</v>
      </c>
      <c r="M80" s="96">
        <f t="shared" si="74"/>
        <v>0</v>
      </c>
      <c r="N80" s="96">
        <f t="shared" si="75"/>
        <v>0</v>
      </c>
      <c r="O80" s="96">
        <f t="shared" si="76"/>
        <v>0</v>
      </c>
      <c r="P80" s="96">
        <f t="shared" si="77"/>
        <v>0</v>
      </c>
      <c r="Q80" s="96">
        <f t="shared" si="78"/>
        <v>0</v>
      </c>
      <c r="R80" s="96">
        <f t="shared" si="79"/>
        <v>0</v>
      </c>
      <c r="S80" s="96">
        <f t="shared" si="80"/>
        <v>0</v>
      </c>
      <c r="T80" s="97">
        <f t="shared" si="81"/>
        <v>0</v>
      </c>
      <c r="U80" s="98">
        <f t="shared" si="82"/>
        <v>91080</v>
      </c>
      <c r="V80" s="99">
        <f t="shared" si="83"/>
        <v>0</v>
      </c>
      <c r="W80" s="99">
        <f t="shared" si="84"/>
        <v>0</v>
      </c>
      <c r="X80" s="99">
        <f t="shared" si="85"/>
        <v>8653</v>
      </c>
      <c r="Y80" s="96">
        <f t="shared" si="86"/>
        <v>1548</v>
      </c>
      <c r="Z80" s="96">
        <f t="shared" si="87"/>
        <v>0</v>
      </c>
      <c r="AA80" s="96">
        <f t="shared" si="88"/>
        <v>7940</v>
      </c>
      <c r="AB80" s="96">
        <f t="shared" si="89"/>
        <v>0</v>
      </c>
      <c r="AC80" s="96">
        <f t="shared" si="90"/>
        <v>0</v>
      </c>
      <c r="AD80" s="96">
        <f t="shared" si="91"/>
        <v>0</v>
      </c>
      <c r="AE80" s="100">
        <f t="shared" si="92"/>
        <v>18141</v>
      </c>
      <c r="AF80" s="101">
        <f t="shared" si="93"/>
        <v>72939</v>
      </c>
      <c r="AG80" s="100">
        <f t="shared" si="94"/>
        <v>0</v>
      </c>
      <c r="AH80" s="96">
        <f t="shared" si="95"/>
        <v>0</v>
      </c>
    </row>
    <row r="81" spans="1:34" s="92" customFormat="1" ht="20.100000000000001" customHeight="1" x14ac:dyDescent="0.25">
      <c r="A81" s="94">
        <v>72</v>
      </c>
      <c r="B81" s="132" t="s">
        <v>247</v>
      </c>
      <c r="C81" s="94" t="str">
        <f t="shared" si="64"/>
        <v xml:space="preserve">Sekretar i Kryetarit të Kuvendit. </v>
      </c>
      <c r="D81" s="95" t="str">
        <f t="shared" si="65"/>
        <v>JK</v>
      </c>
      <c r="E81" s="94">
        <f t="shared" si="66"/>
        <v>22</v>
      </c>
      <c r="F81" s="96">
        <f t="shared" si="67"/>
        <v>0</v>
      </c>
      <c r="G81" s="96">
        <f t="shared" si="68"/>
        <v>90000</v>
      </c>
      <c r="H81" s="96">
        <f t="shared" si="69"/>
        <v>0</v>
      </c>
      <c r="I81" s="96">
        <f t="shared" si="70"/>
        <v>1620</v>
      </c>
      <c r="J81" s="96">
        <f t="shared" si="71"/>
        <v>0</v>
      </c>
      <c r="K81" s="96">
        <f t="shared" si="72"/>
        <v>0</v>
      </c>
      <c r="L81" s="96">
        <f t="shared" si="73"/>
        <v>0</v>
      </c>
      <c r="M81" s="96">
        <f t="shared" si="74"/>
        <v>0</v>
      </c>
      <c r="N81" s="96">
        <f t="shared" si="75"/>
        <v>0</v>
      </c>
      <c r="O81" s="96">
        <f t="shared" si="76"/>
        <v>0</v>
      </c>
      <c r="P81" s="96">
        <f t="shared" si="77"/>
        <v>0</v>
      </c>
      <c r="Q81" s="96">
        <f t="shared" si="78"/>
        <v>0</v>
      </c>
      <c r="R81" s="96">
        <f t="shared" si="79"/>
        <v>0</v>
      </c>
      <c r="S81" s="96">
        <f t="shared" si="80"/>
        <v>0</v>
      </c>
      <c r="T81" s="97">
        <f t="shared" si="81"/>
        <v>0</v>
      </c>
      <c r="U81" s="98">
        <f t="shared" si="82"/>
        <v>91620</v>
      </c>
      <c r="V81" s="99">
        <f t="shared" si="83"/>
        <v>0</v>
      </c>
      <c r="W81" s="99">
        <f t="shared" si="84"/>
        <v>0</v>
      </c>
      <c r="X81" s="99">
        <f t="shared" si="85"/>
        <v>8704</v>
      </c>
      <c r="Y81" s="96">
        <f t="shared" si="86"/>
        <v>1558</v>
      </c>
      <c r="Z81" s="96">
        <f t="shared" si="87"/>
        <v>0</v>
      </c>
      <c r="AA81" s="96">
        <f t="shared" si="88"/>
        <v>8011</v>
      </c>
      <c r="AB81" s="96">
        <f t="shared" si="89"/>
        <v>0</v>
      </c>
      <c r="AC81" s="96">
        <f t="shared" si="90"/>
        <v>0</v>
      </c>
      <c r="AD81" s="96">
        <f t="shared" si="91"/>
        <v>0</v>
      </c>
      <c r="AE81" s="100">
        <f t="shared" si="92"/>
        <v>18273</v>
      </c>
      <c r="AF81" s="101">
        <f t="shared" si="93"/>
        <v>73347</v>
      </c>
      <c r="AG81" s="100">
        <f t="shared" si="94"/>
        <v>0</v>
      </c>
      <c r="AH81" s="96">
        <f t="shared" si="95"/>
        <v>0</v>
      </c>
    </row>
    <row r="82" spans="1:34" s="92" customFormat="1" ht="20.100000000000001" customHeight="1" x14ac:dyDescent="0.25">
      <c r="A82" s="94">
        <v>73</v>
      </c>
      <c r="B82" s="132" t="s">
        <v>248</v>
      </c>
      <c r="C82" s="94" t="str">
        <f t="shared" si="64"/>
        <v xml:space="preserve">Sekretar i Kryetarit të Gjykatës së Lartë. </v>
      </c>
      <c r="D82" s="95" t="str">
        <f t="shared" si="65"/>
        <v>JK</v>
      </c>
      <c r="E82" s="94">
        <f t="shared" si="66"/>
        <v>22</v>
      </c>
      <c r="F82" s="96">
        <f t="shared" si="67"/>
        <v>0</v>
      </c>
      <c r="G82" s="96">
        <f t="shared" si="68"/>
        <v>90000</v>
      </c>
      <c r="H82" s="96">
        <f t="shared" si="69"/>
        <v>0</v>
      </c>
      <c r="I82" s="96">
        <f t="shared" si="70"/>
        <v>2160</v>
      </c>
      <c r="J82" s="96">
        <f t="shared" si="71"/>
        <v>0</v>
      </c>
      <c r="K82" s="96">
        <f t="shared" si="72"/>
        <v>0</v>
      </c>
      <c r="L82" s="96">
        <f t="shared" si="73"/>
        <v>0</v>
      </c>
      <c r="M82" s="96">
        <f t="shared" si="74"/>
        <v>0</v>
      </c>
      <c r="N82" s="96">
        <f t="shared" si="75"/>
        <v>0</v>
      </c>
      <c r="O82" s="96">
        <f t="shared" si="76"/>
        <v>0</v>
      </c>
      <c r="P82" s="96">
        <f t="shared" si="77"/>
        <v>0</v>
      </c>
      <c r="Q82" s="96">
        <f t="shared" si="78"/>
        <v>0</v>
      </c>
      <c r="R82" s="96">
        <f t="shared" si="79"/>
        <v>0</v>
      </c>
      <c r="S82" s="96">
        <f t="shared" si="80"/>
        <v>0</v>
      </c>
      <c r="T82" s="97">
        <f t="shared" si="81"/>
        <v>0</v>
      </c>
      <c r="U82" s="98">
        <f t="shared" si="82"/>
        <v>92160</v>
      </c>
      <c r="V82" s="99">
        <f t="shared" si="83"/>
        <v>0</v>
      </c>
      <c r="W82" s="99">
        <f t="shared" si="84"/>
        <v>0</v>
      </c>
      <c r="X82" s="99">
        <f t="shared" si="85"/>
        <v>8755</v>
      </c>
      <c r="Y82" s="96">
        <f t="shared" si="86"/>
        <v>1567</v>
      </c>
      <c r="Z82" s="96">
        <f t="shared" si="87"/>
        <v>0</v>
      </c>
      <c r="AA82" s="96">
        <f t="shared" si="88"/>
        <v>8081</v>
      </c>
      <c r="AB82" s="96">
        <f t="shared" si="89"/>
        <v>0</v>
      </c>
      <c r="AC82" s="96">
        <f t="shared" si="90"/>
        <v>0</v>
      </c>
      <c r="AD82" s="96">
        <f t="shared" si="91"/>
        <v>0</v>
      </c>
      <c r="AE82" s="100">
        <f t="shared" si="92"/>
        <v>18403</v>
      </c>
      <c r="AF82" s="101">
        <f t="shared" si="93"/>
        <v>73757</v>
      </c>
      <c r="AG82" s="100">
        <f t="shared" si="94"/>
        <v>0</v>
      </c>
      <c r="AH82" s="96">
        <f t="shared" si="95"/>
        <v>0</v>
      </c>
    </row>
    <row r="83" spans="1:34" s="92" customFormat="1" ht="20.100000000000001" customHeight="1" x14ac:dyDescent="0.25">
      <c r="A83" s="94">
        <v>74</v>
      </c>
      <c r="B83" s="132" t="s">
        <v>249</v>
      </c>
      <c r="C83" s="94" t="str">
        <f t="shared" si="64"/>
        <v>Sekretar i Prokurorit të Përgjithshëm.</v>
      </c>
      <c r="D83" s="95" t="str">
        <f t="shared" si="65"/>
        <v>JK</v>
      </c>
      <c r="E83" s="94">
        <f t="shared" si="66"/>
        <v>22</v>
      </c>
      <c r="F83" s="96">
        <f t="shared" si="67"/>
        <v>0</v>
      </c>
      <c r="G83" s="96">
        <f t="shared" si="68"/>
        <v>90000</v>
      </c>
      <c r="H83" s="96">
        <f t="shared" si="69"/>
        <v>0</v>
      </c>
      <c r="I83" s="96">
        <f t="shared" si="70"/>
        <v>2700</v>
      </c>
      <c r="J83" s="96">
        <f t="shared" si="71"/>
        <v>0</v>
      </c>
      <c r="K83" s="96">
        <f t="shared" si="72"/>
        <v>0</v>
      </c>
      <c r="L83" s="96">
        <f t="shared" si="73"/>
        <v>0</v>
      </c>
      <c r="M83" s="96">
        <f t="shared" si="74"/>
        <v>0</v>
      </c>
      <c r="N83" s="96">
        <f t="shared" si="75"/>
        <v>0</v>
      </c>
      <c r="O83" s="96">
        <f t="shared" si="76"/>
        <v>0</v>
      </c>
      <c r="P83" s="96">
        <f t="shared" si="77"/>
        <v>0</v>
      </c>
      <c r="Q83" s="96">
        <f t="shared" si="78"/>
        <v>0</v>
      </c>
      <c r="R83" s="96">
        <f t="shared" si="79"/>
        <v>0</v>
      </c>
      <c r="S83" s="96">
        <f t="shared" si="80"/>
        <v>0</v>
      </c>
      <c r="T83" s="97">
        <f t="shared" si="81"/>
        <v>0</v>
      </c>
      <c r="U83" s="98">
        <f t="shared" si="82"/>
        <v>92700</v>
      </c>
      <c r="V83" s="99">
        <f t="shared" si="83"/>
        <v>0</v>
      </c>
      <c r="W83" s="99">
        <f t="shared" si="84"/>
        <v>0</v>
      </c>
      <c r="X83" s="99">
        <f t="shared" si="85"/>
        <v>8807</v>
      </c>
      <c r="Y83" s="96">
        <f t="shared" si="86"/>
        <v>1576</v>
      </c>
      <c r="Z83" s="96">
        <f t="shared" si="87"/>
        <v>0</v>
      </c>
      <c r="AA83" s="96">
        <f t="shared" si="88"/>
        <v>8151</v>
      </c>
      <c r="AB83" s="96">
        <f t="shared" si="89"/>
        <v>0</v>
      </c>
      <c r="AC83" s="96">
        <f t="shared" si="90"/>
        <v>0</v>
      </c>
      <c r="AD83" s="96">
        <f t="shared" si="91"/>
        <v>0</v>
      </c>
      <c r="AE83" s="100">
        <f t="shared" si="92"/>
        <v>18534</v>
      </c>
      <c r="AF83" s="101">
        <f t="shared" si="93"/>
        <v>74166</v>
      </c>
      <c r="AG83" s="100">
        <f t="shared" si="94"/>
        <v>0</v>
      </c>
      <c r="AH83" s="96">
        <f t="shared" si="95"/>
        <v>0</v>
      </c>
    </row>
    <row r="84" spans="1:34" s="92" customFormat="1" ht="20.100000000000001" customHeight="1" x14ac:dyDescent="0.25">
      <c r="A84" s="94">
        <v>75</v>
      </c>
      <c r="B84" s="132" t="s">
        <v>250</v>
      </c>
      <c r="C84" s="94" t="str">
        <f t="shared" si="64"/>
        <v>Sekretar i Zëvendëskryeministrit.</v>
      </c>
      <c r="D84" s="95" t="str">
        <f t="shared" si="65"/>
        <v>JK</v>
      </c>
      <c r="E84" s="94">
        <f t="shared" si="66"/>
        <v>22</v>
      </c>
      <c r="F84" s="96">
        <f t="shared" si="67"/>
        <v>0</v>
      </c>
      <c r="G84" s="96">
        <f t="shared" si="68"/>
        <v>90000</v>
      </c>
      <c r="H84" s="96">
        <f t="shared" si="69"/>
        <v>0</v>
      </c>
      <c r="I84" s="96">
        <f t="shared" si="70"/>
        <v>3240</v>
      </c>
      <c r="J84" s="96">
        <f t="shared" si="71"/>
        <v>0</v>
      </c>
      <c r="K84" s="96">
        <f t="shared" si="72"/>
        <v>0</v>
      </c>
      <c r="L84" s="96">
        <f t="shared" si="73"/>
        <v>0</v>
      </c>
      <c r="M84" s="96">
        <f t="shared" si="74"/>
        <v>0</v>
      </c>
      <c r="N84" s="96">
        <f t="shared" si="75"/>
        <v>0</v>
      </c>
      <c r="O84" s="96">
        <f t="shared" si="76"/>
        <v>0</v>
      </c>
      <c r="P84" s="96">
        <f t="shared" si="77"/>
        <v>0</v>
      </c>
      <c r="Q84" s="96">
        <f t="shared" si="78"/>
        <v>0</v>
      </c>
      <c r="R84" s="96">
        <f t="shared" si="79"/>
        <v>0</v>
      </c>
      <c r="S84" s="96">
        <f t="shared" si="80"/>
        <v>0</v>
      </c>
      <c r="T84" s="97">
        <f t="shared" si="81"/>
        <v>0</v>
      </c>
      <c r="U84" s="98">
        <f t="shared" si="82"/>
        <v>93240</v>
      </c>
      <c r="V84" s="99">
        <f t="shared" si="83"/>
        <v>0</v>
      </c>
      <c r="W84" s="99">
        <f t="shared" si="84"/>
        <v>0</v>
      </c>
      <c r="X84" s="99">
        <f t="shared" si="85"/>
        <v>8858</v>
      </c>
      <c r="Y84" s="96">
        <f t="shared" si="86"/>
        <v>1585</v>
      </c>
      <c r="Z84" s="96">
        <f t="shared" si="87"/>
        <v>0</v>
      </c>
      <c r="AA84" s="96">
        <f t="shared" si="88"/>
        <v>8221</v>
      </c>
      <c r="AB84" s="96">
        <f t="shared" si="89"/>
        <v>0</v>
      </c>
      <c r="AC84" s="96">
        <f t="shared" si="90"/>
        <v>0</v>
      </c>
      <c r="AD84" s="96">
        <f t="shared" si="91"/>
        <v>0</v>
      </c>
      <c r="AE84" s="100">
        <f t="shared" si="92"/>
        <v>18664</v>
      </c>
      <c r="AF84" s="101">
        <f t="shared" si="93"/>
        <v>74576</v>
      </c>
      <c r="AG84" s="100">
        <f t="shared" si="94"/>
        <v>0</v>
      </c>
      <c r="AH84" s="96">
        <f t="shared" si="95"/>
        <v>0</v>
      </c>
    </row>
    <row r="85" spans="1:34" s="92" customFormat="1" ht="20.100000000000001" customHeight="1" x14ac:dyDescent="0.25">
      <c r="A85" s="94">
        <v>76</v>
      </c>
      <c r="B85" s="132" t="s">
        <v>251</v>
      </c>
      <c r="C85" s="94" t="str">
        <f t="shared" si="64"/>
        <v>Sekretar i Nënkryetarit të Kuvendit.</v>
      </c>
      <c r="D85" s="95" t="str">
        <f t="shared" si="65"/>
        <v>JK</v>
      </c>
      <c r="E85" s="94">
        <f t="shared" si="66"/>
        <v>22</v>
      </c>
      <c r="F85" s="96">
        <f t="shared" si="67"/>
        <v>0</v>
      </c>
      <c r="G85" s="96">
        <f t="shared" si="68"/>
        <v>90000</v>
      </c>
      <c r="H85" s="96">
        <f t="shared" si="69"/>
        <v>0</v>
      </c>
      <c r="I85" s="96">
        <f t="shared" si="70"/>
        <v>3780</v>
      </c>
      <c r="J85" s="96">
        <f t="shared" si="71"/>
        <v>0</v>
      </c>
      <c r="K85" s="96">
        <f t="shared" si="72"/>
        <v>0</v>
      </c>
      <c r="L85" s="96">
        <f t="shared" si="73"/>
        <v>0</v>
      </c>
      <c r="M85" s="96">
        <f t="shared" si="74"/>
        <v>0</v>
      </c>
      <c r="N85" s="96">
        <f t="shared" si="75"/>
        <v>0</v>
      </c>
      <c r="O85" s="96">
        <f t="shared" si="76"/>
        <v>0</v>
      </c>
      <c r="P85" s="96">
        <f t="shared" si="77"/>
        <v>0</v>
      </c>
      <c r="Q85" s="96">
        <f t="shared" si="78"/>
        <v>0</v>
      </c>
      <c r="R85" s="96">
        <f t="shared" si="79"/>
        <v>0</v>
      </c>
      <c r="S85" s="96">
        <f t="shared" si="80"/>
        <v>0</v>
      </c>
      <c r="T85" s="97">
        <f t="shared" si="81"/>
        <v>0</v>
      </c>
      <c r="U85" s="98">
        <f t="shared" si="82"/>
        <v>93780</v>
      </c>
      <c r="V85" s="99">
        <f t="shared" si="83"/>
        <v>0</v>
      </c>
      <c r="W85" s="99">
        <f t="shared" si="84"/>
        <v>0</v>
      </c>
      <c r="X85" s="99">
        <f t="shared" si="85"/>
        <v>8909</v>
      </c>
      <c r="Y85" s="96">
        <f t="shared" si="86"/>
        <v>1594</v>
      </c>
      <c r="Z85" s="96">
        <f t="shared" si="87"/>
        <v>0</v>
      </c>
      <c r="AA85" s="96">
        <f t="shared" si="88"/>
        <v>8291</v>
      </c>
      <c r="AB85" s="96">
        <f t="shared" si="89"/>
        <v>0</v>
      </c>
      <c r="AC85" s="96">
        <f t="shared" si="90"/>
        <v>0</v>
      </c>
      <c r="AD85" s="96">
        <f t="shared" si="91"/>
        <v>0</v>
      </c>
      <c r="AE85" s="100">
        <f t="shared" si="92"/>
        <v>18794</v>
      </c>
      <c r="AF85" s="101">
        <f t="shared" si="93"/>
        <v>74986</v>
      </c>
      <c r="AG85" s="100">
        <f t="shared" si="94"/>
        <v>0</v>
      </c>
      <c r="AH85" s="96">
        <f t="shared" si="95"/>
        <v>0</v>
      </c>
    </row>
    <row r="86" spans="1:34" s="92" customFormat="1" ht="20.100000000000001" customHeight="1" x14ac:dyDescent="0.25">
      <c r="A86" s="94">
        <v>77</v>
      </c>
      <c r="B86" s="132" t="s">
        <v>252</v>
      </c>
      <c r="C86" s="94" t="str">
        <f t="shared" si="64"/>
        <v xml:space="preserve">Sekretar i Avokatit të Popullit. </v>
      </c>
      <c r="D86" s="95" t="str">
        <f t="shared" si="65"/>
        <v>JK</v>
      </c>
      <c r="E86" s="94">
        <f t="shared" si="66"/>
        <v>22</v>
      </c>
      <c r="F86" s="96">
        <f t="shared" si="67"/>
        <v>0</v>
      </c>
      <c r="G86" s="96">
        <f t="shared" si="68"/>
        <v>90000</v>
      </c>
      <c r="H86" s="96">
        <f t="shared" si="69"/>
        <v>0</v>
      </c>
      <c r="I86" s="96">
        <f t="shared" si="70"/>
        <v>4320</v>
      </c>
      <c r="J86" s="96">
        <f t="shared" si="71"/>
        <v>0</v>
      </c>
      <c r="K86" s="96">
        <f t="shared" si="72"/>
        <v>0</v>
      </c>
      <c r="L86" s="96">
        <f t="shared" si="73"/>
        <v>0</v>
      </c>
      <c r="M86" s="96">
        <f t="shared" si="74"/>
        <v>0</v>
      </c>
      <c r="N86" s="96">
        <f t="shared" si="75"/>
        <v>0</v>
      </c>
      <c r="O86" s="96">
        <f t="shared" si="76"/>
        <v>0</v>
      </c>
      <c r="P86" s="96">
        <f t="shared" si="77"/>
        <v>0</v>
      </c>
      <c r="Q86" s="96">
        <f t="shared" si="78"/>
        <v>0</v>
      </c>
      <c r="R86" s="96">
        <f t="shared" si="79"/>
        <v>0</v>
      </c>
      <c r="S86" s="96">
        <f t="shared" si="80"/>
        <v>0</v>
      </c>
      <c r="T86" s="97">
        <f t="shared" si="81"/>
        <v>0</v>
      </c>
      <c r="U86" s="98">
        <f t="shared" si="82"/>
        <v>94320</v>
      </c>
      <c r="V86" s="99">
        <f t="shared" si="83"/>
        <v>0</v>
      </c>
      <c r="W86" s="99">
        <f t="shared" si="84"/>
        <v>0</v>
      </c>
      <c r="X86" s="99">
        <f t="shared" si="85"/>
        <v>8960</v>
      </c>
      <c r="Y86" s="96">
        <f t="shared" si="86"/>
        <v>1603</v>
      </c>
      <c r="Z86" s="96">
        <f t="shared" si="87"/>
        <v>0</v>
      </c>
      <c r="AA86" s="96">
        <f t="shared" si="88"/>
        <v>8362</v>
      </c>
      <c r="AB86" s="96">
        <f t="shared" si="89"/>
        <v>0</v>
      </c>
      <c r="AC86" s="96">
        <f t="shared" si="90"/>
        <v>0</v>
      </c>
      <c r="AD86" s="96">
        <f t="shared" si="91"/>
        <v>0</v>
      </c>
      <c r="AE86" s="100">
        <f t="shared" si="92"/>
        <v>18925</v>
      </c>
      <c r="AF86" s="101">
        <f t="shared" si="93"/>
        <v>75395</v>
      </c>
      <c r="AG86" s="100">
        <f t="shared" si="94"/>
        <v>0</v>
      </c>
      <c r="AH86" s="96">
        <f t="shared" si="95"/>
        <v>0</v>
      </c>
    </row>
    <row r="87" spans="1:34" s="92" customFormat="1" ht="20.100000000000001" customHeight="1" x14ac:dyDescent="0.25">
      <c r="A87" s="94">
        <v>78</v>
      </c>
      <c r="B87" s="132" t="s">
        <v>253</v>
      </c>
      <c r="C87" s="94" t="str">
        <f t="shared" si="64"/>
        <v>Këshilltar i Prefektit të qarkut Tiranë.</v>
      </c>
      <c r="D87" s="95" t="str">
        <f t="shared" si="65"/>
        <v>JK</v>
      </c>
      <c r="E87" s="94">
        <f t="shared" si="66"/>
        <v>22</v>
      </c>
      <c r="F87" s="96">
        <f t="shared" si="67"/>
        <v>0</v>
      </c>
      <c r="G87" s="96">
        <f t="shared" si="68"/>
        <v>90000</v>
      </c>
      <c r="H87" s="96">
        <f t="shared" si="69"/>
        <v>0</v>
      </c>
      <c r="I87" s="96">
        <f t="shared" si="70"/>
        <v>0</v>
      </c>
      <c r="J87" s="96">
        <f t="shared" si="71"/>
        <v>0</v>
      </c>
      <c r="K87" s="96">
        <f t="shared" si="72"/>
        <v>0</v>
      </c>
      <c r="L87" s="96">
        <f t="shared" si="73"/>
        <v>0</v>
      </c>
      <c r="M87" s="96">
        <f t="shared" si="74"/>
        <v>0</v>
      </c>
      <c r="N87" s="96">
        <f t="shared" si="75"/>
        <v>0</v>
      </c>
      <c r="O87" s="96">
        <f t="shared" si="76"/>
        <v>0</v>
      </c>
      <c r="P87" s="96">
        <f t="shared" si="77"/>
        <v>0</v>
      </c>
      <c r="Q87" s="96">
        <f t="shared" si="78"/>
        <v>0</v>
      </c>
      <c r="R87" s="96">
        <f t="shared" si="79"/>
        <v>0</v>
      </c>
      <c r="S87" s="96">
        <f t="shared" si="80"/>
        <v>0</v>
      </c>
      <c r="T87" s="97">
        <f t="shared" si="81"/>
        <v>0</v>
      </c>
      <c r="U87" s="98">
        <f t="shared" si="82"/>
        <v>90000</v>
      </c>
      <c r="V87" s="99">
        <f t="shared" si="83"/>
        <v>0</v>
      </c>
      <c r="W87" s="99">
        <f t="shared" si="84"/>
        <v>0</v>
      </c>
      <c r="X87" s="99">
        <f t="shared" si="85"/>
        <v>8550</v>
      </c>
      <c r="Y87" s="96">
        <f t="shared" si="86"/>
        <v>1530</v>
      </c>
      <c r="Z87" s="96">
        <f t="shared" si="87"/>
        <v>0</v>
      </c>
      <c r="AA87" s="96">
        <f t="shared" si="88"/>
        <v>7800</v>
      </c>
      <c r="AB87" s="96">
        <f t="shared" si="89"/>
        <v>0</v>
      </c>
      <c r="AC87" s="96">
        <f t="shared" si="90"/>
        <v>0</v>
      </c>
      <c r="AD87" s="96">
        <f t="shared" si="91"/>
        <v>0</v>
      </c>
      <c r="AE87" s="100">
        <f t="shared" si="92"/>
        <v>17880</v>
      </c>
      <c r="AF87" s="101">
        <f t="shared" si="93"/>
        <v>72120</v>
      </c>
      <c r="AG87" s="100">
        <f t="shared" si="94"/>
        <v>0</v>
      </c>
      <c r="AH87" s="96">
        <f t="shared" si="95"/>
        <v>0</v>
      </c>
    </row>
    <row r="88" spans="1:34" s="92" customFormat="1" ht="20.100000000000001" customHeight="1" x14ac:dyDescent="0.25">
      <c r="A88" s="94">
        <v>79</v>
      </c>
      <c r="B88" s="132" t="s">
        <v>254</v>
      </c>
      <c r="C88" s="94" t="str">
        <f t="shared" si="64"/>
        <v xml:space="preserve">Sekretar i ministrit. </v>
      </c>
      <c r="D88" s="95" t="str">
        <f t="shared" si="65"/>
        <v>JK</v>
      </c>
      <c r="E88" s="94">
        <f t="shared" si="66"/>
        <v>22</v>
      </c>
      <c r="F88" s="96">
        <f t="shared" si="67"/>
        <v>0</v>
      </c>
      <c r="G88" s="96">
        <f t="shared" si="68"/>
        <v>80000</v>
      </c>
      <c r="H88" s="96">
        <f t="shared" si="69"/>
        <v>0</v>
      </c>
      <c r="I88" s="96">
        <f t="shared" si="70"/>
        <v>480</v>
      </c>
      <c r="J88" s="96">
        <f t="shared" si="71"/>
        <v>0</v>
      </c>
      <c r="K88" s="96">
        <f t="shared" si="72"/>
        <v>0</v>
      </c>
      <c r="L88" s="96">
        <f t="shared" si="73"/>
        <v>0</v>
      </c>
      <c r="M88" s="96">
        <f t="shared" si="74"/>
        <v>0</v>
      </c>
      <c r="N88" s="96">
        <f t="shared" si="75"/>
        <v>0</v>
      </c>
      <c r="O88" s="96">
        <f t="shared" si="76"/>
        <v>0</v>
      </c>
      <c r="P88" s="96">
        <f t="shared" si="77"/>
        <v>0</v>
      </c>
      <c r="Q88" s="96">
        <f t="shared" si="78"/>
        <v>0</v>
      </c>
      <c r="R88" s="96">
        <f t="shared" si="79"/>
        <v>0</v>
      </c>
      <c r="S88" s="96">
        <f t="shared" si="80"/>
        <v>0</v>
      </c>
      <c r="T88" s="97">
        <f t="shared" si="81"/>
        <v>0</v>
      </c>
      <c r="U88" s="98">
        <f t="shared" si="82"/>
        <v>80480</v>
      </c>
      <c r="V88" s="99">
        <f t="shared" si="83"/>
        <v>0</v>
      </c>
      <c r="W88" s="99">
        <f t="shared" si="84"/>
        <v>0</v>
      </c>
      <c r="X88" s="99">
        <f t="shared" si="85"/>
        <v>7646</v>
      </c>
      <c r="Y88" s="96">
        <f t="shared" si="86"/>
        <v>1368</v>
      </c>
      <c r="Z88" s="96">
        <f t="shared" si="87"/>
        <v>0</v>
      </c>
      <c r="AA88" s="96">
        <f t="shared" si="88"/>
        <v>6562</v>
      </c>
      <c r="AB88" s="96">
        <f t="shared" si="89"/>
        <v>0</v>
      </c>
      <c r="AC88" s="96">
        <f t="shared" si="90"/>
        <v>0</v>
      </c>
      <c r="AD88" s="96">
        <f t="shared" si="91"/>
        <v>0</v>
      </c>
      <c r="AE88" s="100">
        <f t="shared" si="92"/>
        <v>15576</v>
      </c>
      <c r="AF88" s="101">
        <f t="shared" si="93"/>
        <v>64904</v>
      </c>
      <c r="AG88" s="100">
        <f t="shared" si="94"/>
        <v>0</v>
      </c>
      <c r="AH88" s="96">
        <f t="shared" si="95"/>
        <v>0</v>
      </c>
    </row>
    <row r="89" spans="1:34" s="92" customFormat="1" ht="20.100000000000001" customHeight="1" x14ac:dyDescent="0.25">
      <c r="A89" s="94">
        <v>80</v>
      </c>
      <c r="B89" s="132" t="s">
        <v>255</v>
      </c>
      <c r="C89" s="94" t="str">
        <f t="shared" si="64"/>
        <v xml:space="preserve">Sekretar në zyrën e  Avokatit të Popullit. </v>
      </c>
      <c r="D89" s="95" t="str">
        <f t="shared" si="65"/>
        <v>JK</v>
      </c>
      <c r="E89" s="94">
        <f t="shared" si="66"/>
        <v>22</v>
      </c>
      <c r="F89" s="96">
        <f t="shared" si="67"/>
        <v>0</v>
      </c>
      <c r="G89" s="96">
        <f t="shared" si="68"/>
        <v>80000</v>
      </c>
      <c r="H89" s="96">
        <f t="shared" si="69"/>
        <v>0</v>
      </c>
      <c r="I89" s="96">
        <f t="shared" si="70"/>
        <v>960</v>
      </c>
      <c r="J89" s="96">
        <f t="shared" si="71"/>
        <v>0</v>
      </c>
      <c r="K89" s="96">
        <f t="shared" si="72"/>
        <v>0</v>
      </c>
      <c r="L89" s="96">
        <f t="shared" si="73"/>
        <v>0</v>
      </c>
      <c r="M89" s="96">
        <f t="shared" si="74"/>
        <v>0</v>
      </c>
      <c r="N89" s="96">
        <f t="shared" si="75"/>
        <v>0</v>
      </c>
      <c r="O89" s="96">
        <f t="shared" si="76"/>
        <v>0</v>
      </c>
      <c r="P89" s="96">
        <f t="shared" si="77"/>
        <v>0</v>
      </c>
      <c r="Q89" s="96">
        <f t="shared" si="78"/>
        <v>0</v>
      </c>
      <c r="R89" s="96">
        <f t="shared" si="79"/>
        <v>0</v>
      </c>
      <c r="S89" s="96">
        <f t="shared" si="80"/>
        <v>0</v>
      </c>
      <c r="T89" s="97">
        <f t="shared" si="81"/>
        <v>0</v>
      </c>
      <c r="U89" s="98">
        <f t="shared" si="82"/>
        <v>80960</v>
      </c>
      <c r="V89" s="99">
        <f t="shared" si="83"/>
        <v>0</v>
      </c>
      <c r="W89" s="99">
        <f t="shared" si="84"/>
        <v>0</v>
      </c>
      <c r="X89" s="99">
        <f t="shared" si="85"/>
        <v>7691</v>
      </c>
      <c r="Y89" s="96">
        <f t="shared" si="86"/>
        <v>1376</v>
      </c>
      <c r="Z89" s="96">
        <f t="shared" si="87"/>
        <v>0</v>
      </c>
      <c r="AA89" s="96">
        <f t="shared" si="88"/>
        <v>6625</v>
      </c>
      <c r="AB89" s="96">
        <f t="shared" si="89"/>
        <v>0</v>
      </c>
      <c r="AC89" s="96">
        <f t="shared" si="90"/>
        <v>0</v>
      </c>
      <c r="AD89" s="96">
        <f t="shared" si="91"/>
        <v>0</v>
      </c>
      <c r="AE89" s="100">
        <f t="shared" si="92"/>
        <v>15692</v>
      </c>
      <c r="AF89" s="101">
        <f t="shared" si="93"/>
        <v>65268</v>
      </c>
      <c r="AG89" s="100">
        <f t="shared" si="94"/>
        <v>0</v>
      </c>
      <c r="AH89" s="96">
        <f t="shared" si="95"/>
        <v>0</v>
      </c>
    </row>
    <row r="90" spans="1:34" s="92" customFormat="1" ht="20.100000000000001" customHeight="1" x14ac:dyDescent="0.25">
      <c r="A90" s="94">
        <v>81</v>
      </c>
      <c r="B90" s="132" t="s">
        <v>256</v>
      </c>
      <c r="C90" s="94" t="str">
        <f t="shared" si="64"/>
        <v xml:space="preserve">Sekretar i titullarëve të institucioneve të tjera të pavarura, të përmendura në shkronjën “a”, të pikës 1, të kreut I, të këtij vendimi. </v>
      </c>
      <c r="D90" s="95" t="str">
        <f t="shared" si="65"/>
        <v>JK</v>
      </c>
      <c r="E90" s="94">
        <f t="shared" si="66"/>
        <v>22</v>
      </c>
      <c r="F90" s="96">
        <f t="shared" si="67"/>
        <v>0</v>
      </c>
      <c r="G90" s="96">
        <f t="shared" si="68"/>
        <v>80000</v>
      </c>
      <c r="H90" s="96">
        <f t="shared" si="69"/>
        <v>0</v>
      </c>
      <c r="I90" s="96">
        <f t="shared" si="70"/>
        <v>1440</v>
      </c>
      <c r="J90" s="96">
        <f t="shared" si="71"/>
        <v>0</v>
      </c>
      <c r="K90" s="96">
        <f t="shared" si="72"/>
        <v>0</v>
      </c>
      <c r="L90" s="96">
        <f t="shared" si="73"/>
        <v>0</v>
      </c>
      <c r="M90" s="96">
        <f t="shared" si="74"/>
        <v>0</v>
      </c>
      <c r="N90" s="96">
        <f t="shared" si="75"/>
        <v>0</v>
      </c>
      <c r="O90" s="96">
        <f t="shared" si="76"/>
        <v>0</v>
      </c>
      <c r="P90" s="96">
        <f t="shared" si="77"/>
        <v>0</v>
      </c>
      <c r="Q90" s="96">
        <f t="shared" si="78"/>
        <v>0</v>
      </c>
      <c r="R90" s="96">
        <f t="shared" si="79"/>
        <v>0</v>
      </c>
      <c r="S90" s="96">
        <f t="shared" si="80"/>
        <v>0</v>
      </c>
      <c r="T90" s="97">
        <f t="shared" si="81"/>
        <v>0</v>
      </c>
      <c r="U90" s="98">
        <f t="shared" si="82"/>
        <v>81440</v>
      </c>
      <c r="V90" s="99">
        <f t="shared" si="83"/>
        <v>0</v>
      </c>
      <c r="W90" s="99">
        <f t="shared" si="84"/>
        <v>0</v>
      </c>
      <c r="X90" s="99">
        <f t="shared" si="85"/>
        <v>7737</v>
      </c>
      <c r="Y90" s="96">
        <f t="shared" si="86"/>
        <v>1384</v>
      </c>
      <c r="Z90" s="96">
        <f t="shared" si="87"/>
        <v>0</v>
      </c>
      <c r="AA90" s="96">
        <f t="shared" si="88"/>
        <v>6687</v>
      </c>
      <c r="AB90" s="96">
        <f t="shared" si="89"/>
        <v>0</v>
      </c>
      <c r="AC90" s="96">
        <f t="shared" si="90"/>
        <v>0</v>
      </c>
      <c r="AD90" s="96">
        <f t="shared" si="91"/>
        <v>0</v>
      </c>
      <c r="AE90" s="100">
        <f t="shared" si="92"/>
        <v>15808</v>
      </c>
      <c r="AF90" s="101">
        <f t="shared" si="93"/>
        <v>65632</v>
      </c>
      <c r="AG90" s="100">
        <f t="shared" si="94"/>
        <v>0</v>
      </c>
      <c r="AH90" s="96">
        <f t="shared" si="95"/>
        <v>0</v>
      </c>
    </row>
    <row r="91" spans="1:34" s="92" customFormat="1" ht="20.100000000000001" customHeight="1" x14ac:dyDescent="0.25">
      <c r="A91" s="94">
        <v>82</v>
      </c>
      <c r="B91" s="132" t="s">
        <v>257</v>
      </c>
      <c r="C91" s="94" t="str">
        <f t="shared" si="64"/>
        <v xml:space="preserve">Sekretar në Kryeministri. </v>
      </c>
      <c r="D91" s="95" t="str">
        <f t="shared" si="65"/>
        <v>JK</v>
      </c>
      <c r="E91" s="94">
        <f t="shared" si="66"/>
        <v>22</v>
      </c>
      <c r="F91" s="96">
        <f t="shared" si="67"/>
        <v>0</v>
      </c>
      <c r="G91" s="96">
        <f t="shared" si="68"/>
        <v>80000</v>
      </c>
      <c r="H91" s="96">
        <f t="shared" si="69"/>
        <v>0</v>
      </c>
      <c r="I91" s="96">
        <f t="shared" si="70"/>
        <v>1920</v>
      </c>
      <c r="J91" s="96">
        <f t="shared" si="71"/>
        <v>0</v>
      </c>
      <c r="K91" s="96">
        <f t="shared" si="72"/>
        <v>0</v>
      </c>
      <c r="L91" s="96">
        <f t="shared" si="73"/>
        <v>0</v>
      </c>
      <c r="M91" s="96">
        <f t="shared" si="74"/>
        <v>0</v>
      </c>
      <c r="N91" s="96">
        <f t="shared" si="75"/>
        <v>0</v>
      </c>
      <c r="O91" s="96">
        <f t="shared" si="76"/>
        <v>0</v>
      </c>
      <c r="P91" s="96">
        <f t="shared" si="77"/>
        <v>0</v>
      </c>
      <c r="Q91" s="96">
        <f t="shared" si="78"/>
        <v>0</v>
      </c>
      <c r="R91" s="96">
        <f t="shared" si="79"/>
        <v>0</v>
      </c>
      <c r="S91" s="96">
        <f t="shared" si="80"/>
        <v>0</v>
      </c>
      <c r="T91" s="97">
        <f t="shared" si="81"/>
        <v>0</v>
      </c>
      <c r="U91" s="98">
        <f t="shared" si="82"/>
        <v>81920</v>
      </c>
      <c r="V91" s="99">
        <f t="shared" si="83"/>
        <v>0</v>
      </c>
      <c r="W91" s="99">
        <f t="shared" si="84"/>
        <v>0</v>
      </c>
      <c r="X91" s="99">
        <f t="shared" si="85"/>
        <v>7782</v>
      </c>
      <c r="Y91" s="96">
        <f t="shared" si="86"/>
        <v>1393</v>
      </c>
      <c r="Z91" s="96">
        <f t="shared" si="87"/>
        <v>0</v>
      </c>
      <c r="AA91" s="96">
        <f t="shared" si="88"/>
        <v>6750</v>
      </c>
      <c r="AB91" s="96">
        <f t="shared" si="89"/>
        <v>0</v>
      </c>
      <c r="AC91" s="96">
        <f t="shared" si="90"/>
        <v>0</v>
      </c>
      <c r="AD91" s="96">
        <f t="shared" si="91"/>
        <v>0</v>
      </c>
      <c r="AE91" s="100">
        <f t="shared" si="92"/>
        <v>15925</v>
      </c>
      <c r="AF91" s="101">
        <f t="shared" si="93"/>
        <v>65995</v>
      </c>
      <c r="AG91" s="100">
        <f t="shared" si="94"/>
        <v>0</v>
      </c>
      <c r="AH91" s="96">
        <f t="shared" si="95"/>
        <v>0</v>
      </c>
    </row>
    <row r="92" spans="1:34" s="92" customFormat="1" ht="20.100000000000001" customHeight="1" x14ac:dyDescent="0.25">
      <c r="A92" s="94">
        <v>83</v>
      </c>
      <c r="B92" s="132" t="s">
        <v>258</v>
      </c>
      <c r="C92" s="94" t="str">
        <f t="shared" si="64"/>
        <v xml:space="preserve">Sekretar në aparatet e ministrive të linjës dhe institucionet e pavarura, të përmendura në shkronjën “a”, të pikës 1, të kreut I, të këtij vendimi. </v>
      </c>
      <c r="D92" s="95" t="str">
        <f t="shared" si="65"/>
        <v>JK</v>
      </c>
      <c r="E92" s="94">
        <f t="shared" si="66"/>
        <v>22</v>
      </c>
      <c r="F92" s="96">
        <f t="shared" si="67"/>
        <v>0</v>
      </c>
      <c r="G92" s="96">
        <f t="shared" si="68"/>
        <v>80000</v>
      </c>
      <c r="H92" s="96">
        <f t="shared" si="69"/>
        <v>0</v>
      </c>
      <c r="I92" s="96">
        <f t="shared" si="70"/>
        <v>2400</v>
      </c>
      <c r="J92" s="96">
        <f t="shared" si="71"/>
        <v>0</v>
      </c>
      <c r="K92" s="96">
        <f t="shared" si="72"/>
        <v>0</v>
      </c>
      <c r="L92" s="96">
        <f t="shared" si="73"/>
        <v>0</v>
      </c>
      <c r="M92" s="96">
        <f t="shared" si="74"/>
        <v>0</v>
      </c>
      <c r="N92" s="96">
        <f t="shared" si="75"/>
        <v>0</v>
      </c>
      <c r="O92" s="96">
        <f t="shared" si="76"/>
        <v>0</v>
      </c>
      <c r="P92" s="96">
        <f t="shared" si="77"/>
        <v>0</v>
      </c>
      <c r="Q92" s="96">
        <f t="shared" si="78"/>
        <v>0</v>
      </c>
      <c r="R92" s="96">
        <f t="shared" si="79"/>
        <v>0</v>
      </c>
      <c r="S92" s="96">
        <f t="shared" si="80"/>
        <v>0</v>
      </c>
      <c r="T92" s="97">
        <f t="shared" si="81"/>
        <v>0</v>
      </c>
      <c r="U92" s="98">
        <f t="shared" si="82"/>
        <v>82400</v>
      </c>
      <c r="V92" s="99">
        <f t="shared" si="83"/>
        <v>0</v>
      </c>
      <c r="W92" s="99">
        <f t="shared" si="84"/>
        <v>0</v>
      </c>
      <c r="X92" s="99">
        <f t="shared" si="85"/>
        <v>7828</v>
      </c>
      <c r="Y92" s="96">
        <f t="shared" si="86"/>
        <v>1401</v>
      </c>
      <c r="Z92" s="96">
        <f t="shared" si="87"/>
        <v>0</v>
      </c>
      <c r="AA92" s="96">
        <f t="shared" si="88"/>
        <v>6812</v>
      </c>
      <c r="AB92" s="96">
        <f t="shared" si="89"/>
        <v>0</v>
      </c>
      <c r="AC92" s="96">
        <f t="shared" si="90"/>
        <v>0</v>
      </c>
      <c r="AD92" s="96">
        <f t="shared" si="91"/>
        <v>0</v>
      </c>
      <c r="AE92" s="100">
        <f t="shared" si="92"/>
        <v>16041</v>
      </c>
      <c r="AF92" s="101">
        <f t="shared" si="93"/>
        <v>66359</v>
      </c>
      <c r="AG92" s="100">
        <f t="shared" si="94"/>
        <v>0</v>
      </c>
      <c r="AH92" s="96">
        <f t="shared" si="95"/>
        <v>0</v>
      </c>
    </row>
    <row r="93" spans="1:34" s="92" customFormat="1" ht="20.100000000000001" customHeight="1" x14ac:dyDescent="0.25">
      <c r="A93" s="94">
        <v>84</v>
      </c>
      <c r="B93" s="132" t="s">
        <v>259</v>
      </c>
      <c r="C93" s="94" t="str">
        <f t="shared" si="64"/>
        <v xml:space="preserve">Sekretar i organit kolegjial drejtues. </v>
      </c>
      <c r="D93" s="95" t="str">
        <f t="shared" si="65"/>
        <v>JK</v>
      </c>
      <c r="E93" s="94">
        <f t="shared" si="66"/>
        <v>22</v>
      </c>
      <c r="F93" s="96">
        <f t="shared" si="67"/>
        <v>0</v>
      </c>
      <c r="G93" s="96">
        <f t="shared" si="68"/>
        <v>80000</v>
      </c>
      <c r="H93" s="96">
        <f t="shared" si="69"/>
        <v>0</v>
      </c>
      <c r="I93" s="96">
        <f t="shared" si="70"/>
        <v>2880</v>
      </c>
      <c r="J93" s="96">
        <f t="shared" si="71"/>
        <v>0</v>
      </c>
      <c r="K93" s="96">
        <f t="shared" si="72"/>
        <v>0</v>
      </c>
      <c r="L93" s="96">
        <f t="shared" si="73"/>
        <v>0</v>
      </c>
      <c r="M93" s="96">
        <f t="shared" si="74"/>
        <v>0</v>
      </c>
      <c r="N93" s="96">
        <f t="shared" si="75"/>
        <v>0</v>
      </c>
      <c r="O93" s="96">
        <f t="shared" si="76"/>
        <v>0</v>
      </c>
      <c r="P93" s="96">
        <f t="shared" si="77"/>
        <v>0</v>
      </c>
      <c r="Q93" s="96">
        <f t="shared" si="78"/>
        <v>0</v>
      </c>
      <c r="R93" s="96">
        <f t="shared" si="79"/>
        <v>0</v>
      </c>
      <c r="S93" s="96">
        <f t="shared" si="80"/>
        <v>0</v>
      </c>
      <c r="T93" s="97">
        <f t="shared" si="81"/>
        <v>0</v>
      </c>
      <c r="U93" s="98">
        <f t="shared" si="82"/>
        <v>82880</v>
      </c>
      <c r="V93" s="99">
        <f t="shared" si="83"/>
        <v>0</v>
      </c>
      <c r="W93" s="99">
        <f t="shared" si="84"/>
        <v>0</v>
      </c>
      <c r="X93" s="99">
        <f t="shared" si="85"/>
        <v>7874</v>
      </c>
      <c r="Y93" s="96">
        <f t="shared" si="86"/>
        <v>1409</v>
      </c>
      <c r="Z93" s="96">
        <f t="shared" si="87"/>
        <v>0</v>
      </c>
      <c r="AA93" s="96">
        <f t="shared" si="88"/>
        <v>6874</v>
      </c>
      <c r="AB93" s="96">
        <f t="shared" si="89"/>
        <v>0</v>
      </c>
      <c r="AC93" s="96">
        <f t="shared" si="90"/>
        <v>0</v>
      </c>
      <c r="AD93" s="96">
        <f t="shared" si="91"/>
        <v>0</v>
      </c>
      <c r="AE93" s="100">
        <f t="shared" si="92"/>
        <v>16157</v>
      </c>
      <c r="AF93" s="101">
        <f t="shared" si="93"/>
        <v>66723</v>
      </c>
      <c r="AG93" s="100">
        <f t="shared" si="94"/>
        <v>0</v>
      </c>
      <c r="AH93" s="96">
        <f t="shared" si="95"/>
        <v>0</v>
      </c>
    </row>
    <row r="94" spans="1:34" s="92" customFormat="1" ht="20.100000000000001" customHeight="1" x14ac:dyDescent="0.25">
      <c r="A94" s="94">
        <v>85</v>
      </c>
      <c r="B94" s="132" t="s">
        <v>260</v>
      </c>
      <c r="C94" s="94" t="str">
        <f t="shared" si="64"/>
        <v>Zëdhënës i Prefektit të qarkut Tiranë.</v>
      </c>
      <c r="D94" s="95" t="str">
        <f t="shared" si="65"/>
        <v>JK</v>
      </c>
      <c r="E94" s="94">
        <f t="shared" si="66"/>
        <v>22</v>
      </c>
      <c r="F94" s="96">
        <f t="shared" si="67"/>
        <v>0</v>
      </c>
      <c r="G94" s="96">
        <f t="shared" si="68"/>
        <v>80000</v>
      </c>
      <c r="H94" s="96">
        <f t="shared" si="69"/>
        <v>0</v>
      </c>
      <c r="I94" s="96">
        <f t="shared" si="70"/>
        <v>0</v>
      </c>
      <c r="J94" s="96">
        <f t="shared" si="71"/>
        <v>0</v>
      </c>
      <c r="K94" s="96">
        <f t="shared" si="72"/>
        <v>0</v>
      </c>
      <c r="L94" s="96">
        <f t="shared" si="73"/>
        <v>0</v>
      </c>
      <c r="M94" s="96">
        <f t="shared" si="74"/>
        <v>0</v>
      </c>
      <c r="N94" s="96">
        <f t="shared" si="75"/>
        <v>0</v>
      </c>
      <c r="O94" s="96">
        <f t="shared" si="76"/>
        <v>0</v>
      </c>
      <c r="P94" s="96">
        <f t="shared" si="77"/>
        <v>0</v>
      </c>
      <c r="Q94" s="96">
        <f t="shared" si="78"/>
        <v>0</v>
      </c>
      <c r="R94" s="96">
        <f t="shared" si="79"/>
        <v>0</v>
      </c>
      <c r="S94" s="96">
        <f t="shared" si="80"/>
        <v>0</v>
      </c>
      <c r="T94" s="97">
        <f t="shared" si="81"/>
        <v>0</v>
      </c>
      <c r="U94" s="98">
        <f t="shared" si="82"/>
        <v>80000</v>
      </c>
      <c r="V94" s="99">
        <f t="shared" si="83"/>
        <v>0</v>
      </c>
      <c r="W94" s="99">
        <f t="shared" si="84"/>
        <v>0</v>
      </c>
      <c r="X94" s="99">
        <f t="shared" si="85"/>
        <v>7600</v>
      </c>
      <c r="Y94" s="96">
        <f t="shared" si="86"/>
        <v>1360</v>
      </c>
      <c r="Z94" s="96">
        <f t="shared" si="87"/>
        <v>0</v>
      </c>
      <c r="AA94" s="96">
        <f t="shared" si="88"/>
        <v>6500</v>
      </c>
      <c r="AB94" s="96">
        <f t="shared" si="89"/>
        <v>0</v>
      </c>
      <c r="AC94" s="96">
        <f t="shared" si="90"/>
        <v>0</v>
      </c>
      <c r="AD94" s="96">
        <f t="shared" si="91"/>
        <v>0</v>
      </c>
      <c r="AE94" s="100">
        <f t="shared" si="92"/>
        <v>15460</v>
      </c>
      <c r="AF94" s="101">
        <f t="shared" si="93"/>
        <v>64540</v>
      </c>
      <c r="AG94" s="100">
        <f t="shared" si="94"/>
        <v>0</v>
      </c>
      <c r="AH94" s="96">
        <f t="shared" si="95"/>
        <v>0</v>
      </c>
    </row>
    <row r="95" spans="1:34" s="92" customFormat="1" ht="20.100000000000001" customHeight="1" x14ac:dyDescent="0.25">
      <c r="A95" s="94">
        <v>86</v>
      </c>
      <c r="B95" s="132" t="s">
        <v>261</v>
      </c>
      <c r="C95" s="94" t="str">
        <f t="shared" si="64"/>
        <v>Punonjes Mbeshtetes I</v>
      </c>
      <c r="D95" s="95" t="str">
        <f t="shared" si="65"/>
        <v>I</v>
      </c>
      <c r="E95" s="94">
        <f t="shared" si="66"/>
        <v>22</v>
      </c>
      <c r="F95" s="96">
        <f t="shared" si="67"/>
        <v>0</v>
      </c>
      <c r="G95" s="96">
        <f t="shared" si="68"/>
        <v>40000</v>
      </c>
      <c r="H95" s="96">
        <f t="shared" si="69"/>
        <v>0</v>
      </c>
      <c r="I95" s="96">
        <f t="shared" si="70"/>
        <v>400</v>
      </c>
      <c r="J95" s="96">
        <f t="shared" si="71"/>
        <v>0</v>
      </c>
      <c r="K95" s="96">
        <f t="shared" si="72"/>
        <v>0</v>
      </c>
      <c r="L95" s="96">
        <f t="shared" si="73"/>
        <v>0</v>
      </c>
      <c r="M95" s="96">
        <f t="shared" si="74"/>
        <v>0</v>
      </c>
      <c r="N95" s="96">
        <f t="shared" si="75"/>
        <v>0</v>
      </c>
      <c r="O95" s="96">
        <f t="shared" si="76"/>
        <v>0</v>
      </c>
      <c r="P95" s="96">
        <f t="shared" si="77"/>
        <v>0</v>
      </c>
      <c r="Q95" s="96">
        <f t="shared" si="78"/>
        <v>0</v>
      </c>
      <c r="R95" s="96">
        <f t="shared" si="79"/>
        <v>0</v>
      </c>
      <c r="S95" s="96">
        <f t="shared" si="80"/>
        <v>0</v>
      </c>
      <c r="T95" s="97">
        <f t="shared" si="81"/>
        <v>0</v>
      </c>
      <c r="U95" s="98">
        <f t="shared" si="82"/>
        <v>40400</v>
      </c>
      <c r="V95" s="99">
        <f t="shared" si="83"/>
        <v>0</v>
      </c>
      <c r="W95" s="99">
        <f t="shared" si="84"/>
        <v>0</v>
      </c>
      <c r="X95" s="99">
        <f t="shared" si="85"/>
        <v>3838</v>
      </c>
      <c r="Y95" s="96">
        <f t="shared" si="86"/>
        <v>687</v>
      </c>
      <c r="Z95" s="96">
        <f t="shared" si="87"/>
        <v>0</v>
      </c>
      <c r="AA95" s="96">
        <f t="shared" si="88"/>
        <v>0</v>
      </c>
      <c r="AB95" s="96">
        <f t="shared" si="89"/>
        <v>0</v>
      </c>
      <c r="AC95" s="96">
        <f t="shared" si="90"/>
        <v>0</v>
      </c>
      <c r="AD95" s="96">
        <f t="shared" si="91"/>
        <v>0</v>
      </c>
      <c r="AE95" s="100">
        <f t="shared" si="92"/>
        <v>4525</v>
      </c>
      <c r="AF95" s="101">
        <f t="shared" si="93"/>
        <v>35875</v>
      </c>
      <c r="AG95" s="100">
        <f t="shared" si="94"/>
        <v>0</v>
      </c>
      <c r="AH95" s="96">
        <f t="shared" si="95"/>
        <v>0</v>
      </c>
    </row>
    <row r="96" spans="1:34" s="92" customFormat="1" ht="20.100000000000001" customHeight="1" x14ac:dyDescent="0.25">
      <c r="A96" s="94">
        <v>87</v>
      </c>
      <c r="B96" s="132" t="s">
        <v>262</v>
      </c>
      <c r="C96" s="94" t="str">
        <f t="shared" si="64"/>
        <v>Punonjes Mbeshtetes II</v>
      </c>
      <c r="D96" s="95" t="str">
        <f t="shared" si="65"/>
        <v>II</v>
      </c>
      <c r="E96" s="94">
        <f t="shared" si="66"/>
        <v>22</v>
      </c>
      <c r="F96" s="96">
        <f t="shared" si="67"/>
        <v>0</v>
      </c>
      <c r="G96" s="96">
        <f t="shared" si="68"/>
        <v>41000</v>
      </c>
      <c r="H96" s="96">
        <f t="shared" si="69"/>
        <v>0</v>
      </c>
      <c r="I96" s="96">
        <f t="shared" si="70"/>
        <v>820</v>
      </c>
      <c r="J96" s="96">
        <f t="shared" si="71"/>
        <v>0</v>
      </c>
      <c r="K96" s="96">
        <f t="shared" si="72"/>
        <v>0</v>
      </c>
      <c r="L96" s="96">
        <f t="shared" si="73"/>
        <v>0</v>
      </c>
      <c r="M96" s="96">
        <f t="shared" si="74"/>
        <v>0</v>
      </c>
      <c r="N96" s="96">
        <f t="shared" si="75"/>
        <v>0</v>
      </c>
      <c r="O96" s="96">
        <f t="shared" si="76"/>
        <v>0</v>
      </c>
      <c r="P96" s="96">
        <f t="shared" si="77"/>
        <v>0</v>
      </c>
      <c r="Q96" s="96">
        <f t="shared" si="78"/>
        <v>0</v>
      </c>
      <c r="R96" s="96">
        <f t="shared" si="79"/>
        <v>0</v>
      </c>
      <c r="S96" s="96">
        <f t="shared" si="80"/>
        <v>0</v>
      </c>
      <c r="T96" s="97">
        <f t="shared" si="81"/>
        <v>0</v>
      </c>
      <c r="U96" s="98">
        <f t="shared" si="82"/>
        <v>41820</v>
      </c>
      <c r="V96" s="99">
        <f t="shared" si="83"/>
        <v>0</v>
      </c>
      <c r="W96" s="99">
        <f t="shared" si="84"/>
        <v>0</v>
      </c>
      <c r="X96" s="99">
        <f t="shared" si="85"/>
        <v>3973</v>
      </c>
      <c r="Y96" s="96">
        <f t="shared" si="86"/>
        <v>711</v>
      </c>
      <c r="Z96" s="96">
        <f t="shared" si="87"/>
        <v>0</v>
      </c>
      <c r="AA96" s="96">
        <f t="shared" si="88"/>
        <v>0</v>
      </c>
      <c r="AB96" s="96">
        <f t="shared" si="89"/>
        <v>0</v>
      </c>
      <c r="AC96" s="96">
        <f t="shared" si="90"/>
        <v>0</v>
      </c>
      <c r="AD96" s="96">
        <f t="shared" si="91"/>
        <v>0</v>
      </c>
      <c r="AE96" s="100">
        <f t="shared" si="92"/>
        <v>4684</v>
      </c>
      <c r="AF96" s="101">
        <f t="shared" si="93"/>
        <v>37136</v>
      </c>
      <c r="AG96" s="100">
        <f t="shared" si="94"/>
        <v>0</v>
      </c>
      <c r="AH96" s="96">
        <f t="shared" si="95"/>
        <v>0</v>
      </c>
    </row>
    <row r="97" spans="1:34" s="92" customFormat="1" ht="20.100000000000001" customHeight="1" x14ac:dyDescent="0.25">
      <c r="A97" s="94">
        <v>88</v>
      </c>
      <c r="B97" s="132" t="s">
        <v>263</v>
      </c>
      <c r="C97" s="94" t="str">
        <f t="shared" si="64"/>
        <v>Punonjes Mbeshtetes III</v>
      </c>
      <c r="D97" s="95" t="str">
        <f t="shared" si="65"/>
        <v>III</v>
      </c>
      <c r="E97" s="94">
        <f t="shared" si="66"/>
        <v>22</v>
      </c>
      <c r="F97" s="96">
        <f t="shared" si="67"/>
        <v>0</v>
      </c>
      <c r="G97" s="96">
        <f t="shared" si="68"/>
        <v>41800</v>
      </c>
      <c r="H97" s="96">
        <f t="shared" si="69"/>
        <v>0</v>
      </c>
      <c r="I97" s="96">
        <f t="shared" si="70"/>
        <v>1254</v>
      </c>
      <c r="J97" s="96">
        <f t="shared" si="71"/>
        <v>0</v>
      </c>
      <c r="K97" s="96">
        <f t="shared" si="72"/>
        <v>0</v>
      </c>
      <c r="L97" s="96">
        <f t="shared" si="73"/>
        <v>0</v>
      </c>
      <c r="M97" s="96">
        <f t="shared" si="74"/>
        <v>0</v>
      </c>
      <c r="N97" s="96">
        <f t="shared" si="75"/>
        <v>0</v>
      </c>
      <c r="O97" s="96">
        <f t="shared" si="76"/>
        <v>0</v>
      </c>
      <c r="P97" s="96">
        <f t="shared" si="77"/>
        <v>0</v>
      </c>
      <c r="Q97" s="96">
        <f t="shared" si="78"/>
        <v>0</v>
      </c>
      <c r="R97" s="96">
        <f t="shared" si="79"/>
        <v>0</v>
      </c>
      <c r="S97" s="96">
        <f t="shared" si="80"/>
        <v>0</v>
      </c>
      <c r="T97" s="97">
        <f t="shared" si="81"/>
        <v>0</v>
      </c>
      <c r="U97" s="98">
        <f t="shared" si="82"/>
        <v>43054</v>
      </c>
      <c r="V97" s="99">
        <f t="shared" si="83"/>
        <v>0</v>
      </c>
      <c r="W97" s="99">
        <f t="shared" si="84"/>
        <v>0</v>
      </c>
      <c r="X97" s="99">
        <f t="shared" si="85"/>
        <v>4090</v>
      </c>
      <c r="Y97" s="96">
        <f t="shared" si="86"/>
        <v>732</v>
      </c>
      <c r="Z97" s="96">
        <f t="shared" si="87"/>
        <v>0</v>
      </c>
      <c r="AA97" s="96">
        <f t="shared" si="88"/>
        <v>0</v>
      </c>
      <c r="AB97" s="96">
        <f t="shared" si="89"/>
        <v>0</v>
      </c>
      <c r="AC97" s="96">
        <f t="shared" si="90"/>
        <v>0</v>
      </c>
      <c r="AD97" s="96">
        <f t="shared" si="91"/>
        <v>0</v>
      </c>
      <c r="AE97" s="100">
        <f t="shared" si="92"/>
        <v>4822</v>
      </c>
      <c r="AF97" s="101">
        <f t="shared" si="93"/>
        <v>38232</v>
      </c>
      <c r="AG97" s="100">
        <f t="shared" si="94"/>
        <v>0</v>
      </c>
      <c r="AH97" s="96">
        <f t="shared" si="95"/>
        <v>0</v>
      </c>
    </row>
    <row r="98" spans="1:34" s="92" customFormat="1" ht="20.100000000000001" customHeight="1" x14ac:dyDescent="0.25">
      <c r="A98" s="94">
        <v>89</v>
      </c>
      <c r="B98" s="132" t="s">
        <v>264</v>
      </c>
      <c r="C98" s="94" t="str">
        <f t="shared" si="64"/>
        <v>Punonjes Mbeshtetes IV</v>
      </c>
      <c r="D98" s="95" t="str">
        <f t="shared" si="65"/>
        <v>IV</v>
      </c>
      <c r="E98" s="94">
        <f t="shared" si="66"/>
        <v>22</v>
      </c>
      <c r="F98" s="96">
        <f t="shared" si="67"/>
        <v>0</v>
      </c>
      <c r="G98" s="96">
        <f t="shared" si="68"/>
        <v>42500</v>
      </c>
      <c r="H98" s="96">
        <f t="shared" si="69"/>
        <v>0</v>
      </c>
      <c r="I98" s="96">
        <f t="shared" si="70"/>
        <v>1700</v>
      </c>
      <c r="J98" s="96">
        <f t="shared" si="71"/>
        <v>0</v>
      </c>
      <c r="K98" s="96">
        <f t="shared" si="72"/>
        <v>0</v>
      </c>
      <c r="L98" s="96">
        <f t="shared" si="73"/>
        <v>0</v>
      </c>
      <c r="M98" s="96">
        <f t="shared" si="74"/>
        <v>0</v>
      </c>
      <c r="N98" s="96">
        <f t="shared" si="75"/>
        <v>0</v>
      </c>
      <c r="O98" s="96">
        <f t="shared" si="76"/>
        <v>0</v>
      </c>
      <c r="P98" s="96">
        <f t="shared" si="77"/>
        <v>0</v>
      </c>
      <c r="Q98" s="96">
        <f t="shared" si="78"/>
        <v>0</v>
      </c>
      <c r="R98" s="96">
        <f t="shared" si="79"/>
        <v>0</v>
      </c>
      <c r="S98" s="96">
        <f t="shared" si="80"/>
        <v>0</v>
      </c>
      <c r="T98" s="97">
        <f t="shared" si="81"/>
        <v>0</v>
      </c>
      <c r="U98" s="98">
        <f t="shared" si="82"/>
        <v>44200</v>
      </c>
      <c r="V98" s="99">
        <f t="shared" si="83"/>
        <v>0</v>
      </c>
      <c r="W98" s="99">
        <f t="shared" si="84"/>
        <v>0</v>
      </c>
      <c r="X98" s="99">
        <f t="shared" si="85"/>
        <v>4199</v>
      </c>
      <c r="Y98" s="96">
        <f t="shared" si="86"/>
        <v>751</v>
      </c>
      <c r="Z98" s="96">
        <f t="shared" si="87"/>
        <v>0</v>
      </c>
      <c r="AA98" s="96">
        <f t="shared" si="88"/>
        <v>0</v>
      </c>
      <c r="AB98" s="96">
        <f t="shared" si="89"/>
        <v>0</v>
      </c>
      <c r="AC98" s="96">
        <f t="shared" si="90"/>
        <v>0</v>
      </c>
      <c r="AD98" s="96">
        <f t="shared" si="91"/>
        <v>0</v>
      </c>
      <c r="AE98" s="100">
        <f t="shared" si="92"/>
        <v>4950</v>
      </c>
      <c r="AF98" s="101">
        <f t="shared" si="93"/>
        <v>39250</v>
      </c>
      <c r="AG98" s="100">
        <f t="shared" si="94"/>
        <v>0</v>
      </c>
      <c r="AH98" s="96">
        <f t="shared" si="95"/>
        <v>0</v>
      </c>
    </row>
    <row r="99" spans="1:34" s="92" customFormat="1" ht="20.100000000000001" customHeight="1" x14ac:dyDescent="0.25">
      <c r="A99" s="94">
        <v>90</v>
      </c>
      <c r="B99" s="132" t="s">
        <v>265</v>
      </c>
      <c r="C99" s="94" t="str">
        <f t="shared" si="64"/>
        <v>Punonjes Mbeshtetes V</v>
      </c>
      <c r="D99" s="95" t="str">
        <f t="shared" si="65"/>
        <v>V</v>
      </c>
      <c r="E99" s="94">
        <f t="shared" si="66"/>
        <v>22</v>
      </c>
      <c r="F99" s="96">
        <f t="shared" si="67"/>
        <v>0</v>
      </c>
      <c r="G99" s="96">
        <f t="shared" si="68"/>
        <v>43000</v>
      </c>
      <c r="H99" s="96">
        <f t="shared" si="69"/>
        <v>0</v>
      </c>
      <c r="I99" s="96">
        <f t="shared" si="70"/>
        <v>2150</v>
      </c>
      <c r="J99" s="96">
        <f t="shared" si="71"/>
        <v>0</v>
      </c>
      <c r="K99" s="96">
        <f t="shared" si="72"/>
        <v>0</v>
      </c>
      <c r="L99" s="96">
        <f t="shared" si="73"/>
        <v>0</v>
      </c>
      <c r="M99" s="96">
        <f t="shared" si="74"/>
        <v>0</v>
      </c>
      <c r="N99" s="96">
        <f t="shared" si="75"/>
        <v>0</v>
      </c>
      <c r="O99" s="96">
        <f t="shared" si="76"/>
        <v>0</v>
      </c>
      <c r="P99" s="96">
        <f t="shared" si="77"/>
        <v>0</v>
      </c>
      <c r="Q99" s="96">
        <f t="shared" si="78"/>
        <v>0</v>
      </c>
      <c r="R99" s="96">
        <f t="shared" si="79"/>
        <v>0</v>
      </c>
      <c r="S99" s="96">
        <f t="shared" si="80"/>
        <v>0</v>
      </c>
      <c r="T99" s="97">
        <f t="shared" si="81"/>
        <v>0</v>
      </c>
      <c r="U99" s="98">
        <f t="shared" si="82"/>
        <v>45150</v>
      </c>
      <c r="V99" s="99">
        <f t="shared" si="83"/>
        <v>0</v>
      </c>
      <c r="W99" s="99">
        <f t="shared" si="84"/>
        <v>0</v>
      </c>
      <c r="X99" s="99">
        <f t="shared" si="85"/>
        <v>4289</v>
      </c>
      <c r="Y99" s="96">
        <f t="shared" si="86"/>
        <v>768</v>
      </c>
      <c r="Z99" s="96">
        <f t="shared" si="87"/>
        <v>0</v>
      </c>
      <c r="AA99" s="96">
        <f t="shared" si="88"/>
        <v>0</v>
      </c>
      <c r="AB99" s="96">
        <f t="shared" si="89"/>
        <v>0</v>
      </c>
      <c r="AC99" s="96">
        <f t="shared" si="90"/>
        <v>0</v>
      </c>
      <c r="AD99" s="96">
        <f t="shared" si="91"/>
        <v>0</v>
      </c>
      <c r="AE99" s="100">
        <f t="shared" si="92"/>
        <v>5057</v>
      </c>
      <c r="AF99" s="101">
        <f t="shared" si="93"/>
        <v>40093</v>
      </c>
      <c r="AG99" s="100">
        <f t="shared" si="94"/>
        <v>0</v>
      </c>
      <c r="AH99" s="96">
        <f t="shared" si="95"/>
        <v>0</v>
      </c>
    </row>
    <row r="100" spans="1:34" s="92" customFormat="1" ht="20.100000000000001" customHeight="1" x14ac:dyDescent="0.25">
      <c r="A100" s="94">
        <v>91</v>
      </c>
      <c r="B100" s="132" t="s">
        <v>266</v>
      </c>
      <c r="C100" s="94" t="str">
        <f t="shared" si="64"/>
        <v>Punonjes Mbeshtetes VI</v>
      </c>
      <c r="D100" s="95" t="str">
        <f t="shared" si="65"/>
        <v>VI</v>
      </c>
      <c r="E100" s="94">
        <f t="shared" si="66"/>
        <v>22</v>
      </c>
      <c r="F100" s="96">
        <f t="shared" si="67"/>
        <v>0</v>
      </c>
      <c r="G100" s="96">
        <f t="shared" si="68"/>
        <v>44000</v>
      </c>
      <c r="H100" s="96">
        <f t="shared" si="69"/>
        <v>0</v>
      </c>
      <c r="I100" s="96">
        <f t="shared" si="70"/>
        <v>2640</v>
      </c>
      <c r="J100" s="96">
        <f t="shared" si="71"/>
        <v>0</v>
      </c>
      <c r="K100" s="96">
        <f t="shared" si="72"/>
        <v>0</v>
      </c>
      <c r="L100" s="96">
        <f t="shared" si="73"/>
        <v>0</v>
      </c>
      <c r="M100" s="96">
        <f t="shared" si="74"/>
        <v>0</v>
      </c>
      <c r="N100" s="96">
        <f t="shared" si="75"/>
        <v>0</v>
      </c>
      <c r="O100" s="96">
        <f t="shared" si="76"/>
        <v>0</v>
      </c>
      <c r="P100" s="96">
        <f t="shared" si="77"/>
        <v>0</v>
      </c>
      <c r="Q100" s="96">
        <f t="shared" si="78"/>
        <v>0</v>
      </c>
      <c r="R100" s="96">
        <f t="shared" si="79"/>
        <v>0</v>
      </c>
      <c r="S100" s="96">
        <f t="shared" si="80"/>
        <v>0</v>
      </c>
      <c r="T100" s="97">
        <f t="shared" si="81"/>
        <v>0</v>
      </c>
      <c r="U100" s="98">
        <f t="shared" si="82"/>
        <v>46640</v>
      </c>
      <c r="V100" s="99">
        <f t="shared" si="83"/>
        <v>0</v>
      </c>
      <c r="W100" s="99">
        <f t="shared" si="84"/>
        <v>0</v>
      </c>
      <c r="X100" s="99">
        <f t="shared" si="85"/>
        <v>4431</v>
      </c>
      <c r="Y100" s="96">
        <f t="shared" si="86"/>
        <v>793</v>
      </c>
      <c r="Z100" s="96">
        <f t="shared" si="87"/>
        <v>0</v>
      </c>
      <c r="AA100" s="96">
        <f t="shared" si="88"/>
        <v>0</v>
      </c>
      <c r="AB100" s="96">
        <f t="shared" si="89"/>
        <v>0</v>
      </c>
      <c r="AC100" s="96">
        <f t="shared" si="90"/>
        <v>0</v>
      </c>
      <c r="AD100" s="96">
        <f t="shared" si="91"/>
        <v>0</v>
      </c>
      <c r="AE100" s="100">
        <f t="shared" si="92"/>
        <v>5224</v>
      </c>
      <c r="AF100" s="101">
        <f t="shared" si="93"/>
        <v>41416</v>
      </c>
      <c r="AG100" s="100">
        <f t="shared" si="94"/>
        <v>0</v>
      </c>
      <c r="AH100" s="96">
        <f t="shared" si="95"/>
        <v>0</v>
      </c>
    </row>
    <row r="101" spans="1:34" s="92" customFormat="1" ht="20.100000000000001" customHeight="1" x14ac:dyDescent="0.25">
      <c r="A101" s="94">
        <v>92</v>
      </c>
      <c r="B101" s="132" t="s">
        <v>267</v>
      </c>
      <c r="C101" s="94" t="str">
        <f t="shared" si="64"/>
        <v>Punonjes Mbeshtetes VII</v>
      </c>
      <c r="D101" s="95" t="str">
        <f t="shared" si="65"/>
        <v>VII</v>
      </c>
      <c r="E101" s="94">
        <f t="shared" si="66"/>
        <v>22</v>
      </c>
      <c r="F101" s="96">
        <f t="shared" si="67"/>
        <v>0</v>
      </c>
      <c r="G101" s="96">
        <f t="shared" si="68"/>
        <v>45500</v>
      </c>
      <c r="H101" s="96">
        <f t="shared" si="69"/>
        <v>0</v>
      </c>
      <c r="I101" s="96">
        <f t="shared" si="70"/>
        <v>3185</v>
      </c>
      <c r="J101" s="96">
        <f t="shared" si="71"/>
        <v>0</v>
      </c>
      <c r="K101" s="96">
        <f t="shared" si="72"/>
        <v>0</v>
      </c>
      <c r="L101" s="96">
        <f t="shared" si="73"/>
        <v>0</v>
      </c>
      <c r="M101" s="96">
        <f t="shared" si="74"/>
        <v>0</v>
      </c>
      <c r="N101" s="96">
        <f t="shared" si="75"/>
        <v>0</v>
      </c>
      <c r="O101" s="96">
        <f t="shared" si="76"/>
        <v>0</v>
      </c>
      <c r="P101" s="96">
        <f t="shared" si="77"/>
        <v>0</v>
      </c>
      <c r="Q101" s="96">
        <f t="shared" si="78"/>
        <v>0</v>
      </c>
      <c r="R101" s="96">
        <f t="shared" si="79"/>
        <v>0</v>
      </c>
      <c r="S101" s="96">
        <f t="shared" si="80"/>
        <v>0</v>
      </c>
      <c r="T101" s="97">
        <f t="shared" si="81"/>
        <v>0</v>
      </c>
      <c r="U101" s="98">
        <f t="shared" si="82"/>
        <v>48685</v>
      </c>
      <c r="V101" s="99">
        <f t="shared" si="83"/>
        <v>0</v>
      </c>
      <c r="W101" s="99">
        <f t="shared" si="84"/>
        <v>0</v>
      </c>
      <c r="X101" s="99">
        <f t="shared" si="85"/>
        <v>4625</v>
      </c>
      <c r="Y101" s="96">
        <f t="shared" si="86"/>
        <v>828</v>
      </c>
      <c r="Z101" s="96">
        <f t="shared" si="87"/>
        <v>0</v>
      </c>
      <c r="AA101" s="96">
        <f t="shared" si="88"/>
        <v>0</v>
      </c>
      <c r="AB101" s="96">
        <f t="shared" si="89"/>
        <v>0</v>
      </c>
      <c r="AC101" s="96">
        <f t="shared" si="90"/>
        <v>0</v>
      </c>
      <c r="AD101" s="96">
        <f t="shared" si="91"/>
        <v>0</v>
      </c>
      <c r="AE101" s="100">
        <f t="shared" si="92"/>
        <v>5453</v>
      </c>
      <c r="AF101" s="101">
        <f t="shared" si="93"/>
        <v>43232</v>
      </c>
      <c r="AG101" s="100">
        <f t="shared" si="94"/>
        <v>0</v>
      </c>
      <c r="AH101" s="96">
        <f t="shared" si="95"/>
        <v>0</v>
      </c>
    </row>
    <row r="102" spans="1:34" s="92" customFormat="1" ht="20.100000000000001" customHeight="1" x14ac:dyDescent="0.25">
      <c r="A102" s="94">
        <v>93</v>
      </c>
      <c r="B102" s="132" t="s">
        <v>268</v>
      </c>
      <c r="C102" s="94" t="str">
        <f t="shared" si="64"/>
        <v>Punonjes Mbeshtetes VIII</v>
      </c>
      <c r="D102" s="95" t="str">
        <f t="shared" si="65"/>
        <v>VIII</v>
      </c>
      <c r="E102" s="94">
        <f t="shared" si="66"/>
        <v>22</v>
      </c>
      <c r="F102" s="96">
        <f t="shared" si="67"/>
        <v>0</v>
      </c>
      <c r="G102" s="96">
        <f t="shared" si="68"/>
        <v>46300</v>
      </c>
      <c r="H102" s="96">
        <f t="shared" si="69"/>
        <v>0</v>
      </c>
      <c r="I102" s="96">
        <f t="shared" si="70"/>
        <v>3704</v>
      </c>
      <c r="J102" s="96">
        <f t="shared" si="71"/>
        <v>0</v>
      </c>
      <c r="K102" s="96">
        <f t="shared" si="72"/>
        <v>0</v>
      </c>
      <c r="L102" s="96">
        <f t="shared" si="73"/>
        <v>0</v>
      </c>
      <c r="M102" s="96">
        <f t="shared" si="74"/>
        <v>0</v>
      </c>
      <c r="N102" s="96">
        <f t="shared" si="75"/>
        <v>0</v>
      </c>
      <c r="O102" s="96">
        <f t="shared" si="76"/>
        <v>0</v>
      </c>
      <c r="P102" s="96">
        <f t="shared" si="77"/>
        <v>0</v>
      </c>
      <c r="Q102" s="96">
        <f t="shared" si="78"/>
        <v>0</v>
      </c>
      <c r="R102" s="96">
        <f t="shared" si="79"/>
        <v>0</v>
      </c>
      <c r="S102" s="96">
        <f t="shared" si="80"/>
        <v>0</v>
      </c>
      <c r="T102" s="97">
        <f t="shared" si="81"/>
        <v>0</v>
      </c>
      <c r="U102" s="98">
        <f t="shared" si="82"/>
        <v>50004</v>
      </c>
      <c r="V102" s="99">
        <f t="shared" si="83"/>
        <v>0</v>
      </c>
      <c r="W102" s="99">
        <f t="shared" si="84"/>
        <v>0</v>
      </c>
      <c r="X102" s="99">
        <f t="shared" si="85"/>
        <v>4750</v>
      </c>
      <c r="Y102" s="96">
        <f t="shared" si="86"/>
        <v>850</v>
      </c>
      <c r="Z102" s="96">
        <f t="shared" si="87"/>
        <v>0</v>
      </c>
      <c r="AA102" s="96">
        <f t="shared" si="88"/>
        <v>1951</v>
      </c>
      <c r="AB102" s="96">
        <f t="shared" si="89"/>
        <v>0</v>
      </c>
      <c r="AC102" s="96">
        <f t="shared" si="90"/>
        <v>0</v>
      </c>
      <c r="AD102" s="96">
        <f t="shared" si="91"/>
        <v>0</v>
      </c>
      <c r="AE102" s="100">
        <f t="shared" si="92"/>
        <v>7551</v>
      </c>
      <c r="AF102" s="101">
        <f t="shared" si="93"/>
        <v>42453</v>
      </c>
      <c r="AG102" s="100">
        <f t="shared" si="94"/>
        <v>0</v>
      </c>
      <c r="AH102" s="96">
        <f t="shared" si="95"/>
        <v>0</v>
      </c>
    </row>
    <row r="103" spans="1:34" s="92" customFormat="1" ht="20.100000000000001" customHeight="1" x14ac:dyDescent="0.25">
      <c r="A103" s="94">
        <v>94</v>
      </c>
      <c r="B103" s="132" t="s">
        <v>269</v>
      </c>
      <c r="C103" s="94" t="str">
        <f t="shared" si="64"/>
        <v>Punonjes Mbeshtetes IX</v>
      </c>
      <c r="D103" s="95" t="str">
        <f t="shared" si="65"/>
        <v>IX</v>
      </c>
      <c r="E103" s="94">
        <f t="shared" si="66"/>
        <v>22</v>
      </c>
      <c r="F103" s="96">
        <f t="shared" si="67"/>
        <v>0</v>
      </c>
      <c r="G103" s="96">
        <f t="shared" si="68"/>
        <v>47000</v>
      </c>
      <c r="H103" s="96">
        <f t="shared" si="69"/>
        <v>0</v>
      </c>
      <c r="I103" s="96">
        <f t="shared" si="70"/>
        <v>4230</v>
      </c>
      <c r="J103" s="96">
        <f t="shared" si="71"/>
        <v>0</v>
      </c>
      <c r="K103" s="96">
        <f t="shared" si="72"/>
        <v>0</v>
      </c>
      <c r="L103" s="96">
        <f t="shared" si="73"/>
        <v>0</v>
      </c>
      <c r="M103" s="96">
        <f t="shared" si="74"/>
        <v>0</v>
      </c>
      <c r="N103" s="96">
        <f t="shared" si="75"/>
        <v>0</v>
      </c>
      <c r="O103" s="96">
        <f t="shared" si="76"/>
        <v>0</v>
      </c>
      <c r="P103" s="96">
        <f t="shared" si="77"/>
        <v>0</v>
      </c>
      <c r="Q103" s="96">
        <f t="shared" si="78"/>
        <v>0</v>
      </c>
      <c r="R103" s="96">
        <f t="shared" si="79"/>
        <v>0</v>
      </c>
      <c r="S103" s="96">
        <f t="shared" si="80"/>
        <v>0</v>
      </c>
      <c r="T103" s="97">
        <f t="shared" si="81"/>
        <v>0</v>
      </c>
      <c r="U103" s="98">
        <f t="shared" si="82"/>
        <v>51230</v>
      </c>
      <c r="V103" s="99">
        <f t="shared" si="83"/>
        <v>0</v>
      </c>
      <c r="W103" s="99">
        <f t="shared" si="84"/>
        <v>0</v>
      </c>
      <c r="X103" s="99">
        <f t="shared" si="85"/>
        <v>4867</v>
      </c>
      <c r="Y103" s="96">
        <f t="shared" si="86"/>
        <v>871</v>
      </c>
      <c r="Z103" s="96">
        <f t="shared" si="87"/>
        <v>0</v>
      </c>
      <c r="AA103" s="96">
        <f t="shared" si="88"/>
        <v>2110</v>
      </c>
      <c r="AB103" s="96">
        <f t="shared" si="89"/>
        <v>0</v>
      </c>
      <c r="AC103" s="96">
        <f t="shared" si="90"/>
        <v>0</v>
      </c>
      <c r="AD103" s="96">
        <f t="shared" si="91"/>
        <v>0</v>
      </c>
      <c r="AE103" s="100">
        <f t="shared" si="92"/>
        <v>7848</v>
      </c>
      <c r="AF103" s="101">
        <f t="shared" si="93"/>
        <v>43382</v>
      </c>
      <c r="AG103" s="100">
        <f t="shared" si="94"/>
        <v>0</v>
      </c>
      <c r="AH103" s="96">
        <f t="shared" si="95"/>
        <v>0</v>
      </c>
    </row>
    <row r="104" spans="1:34" s="92" customFormat="1" ht="20.100000000000001" customHeight="1" x14ac:dyDescent="0.25">
      <c r="A104" s="94"/>
      <c r="B104" s="132"/>
      <c r="C104" s="94"/>
      <c r="D104" s="95"/>
      <c r="E104" s="94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7"/>
      <c r="U104" s="98"/>
      <c r="V104" s="99"/>
      <c r="W104" s="99"/>
      <c r="X104" s="99"/>
      <c r="Y104" s="96"/>
      <c r="Z104" s="96"/>
      <c r="AA104" s="96"/>
      <c r="AB104" s="96"/>
      <c r="AC104" s="96"/>
      <c r="AD104" s="96"/>
      <c r="AE104" s="100"/>
      <c r="AF104" s="101"/>
      <c r="AG104" s="100"/>
      <c r="AH104" s="96"/>
    </row>
    <row r="105" spans="1:34" s="92" customFormat="1" ht="20.100000000000001" customHeight="1" x14ac:dyDescent="0.25">
      <c r="A105" s="94"/>
      <c r="B105" s="132"/>
      <c r="C105" s="94"/>
      <c r="D105" s="95"/>
      <c r="E105" s="94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7"/>
      <c r="U105" s="98"/>
      <c r="V105" s="99"/>
      <c r="W105" s="99"/>
      <c r="X105" s="99"/>
      <c r="Y105" s="96"/>
      <c r="Z105" s="96"/>
      <c r="AA105" s="96"/>
      <c r="AB105" s="96"/>
      <c r="AC105" s="96"/>
      <c r="AD105" s="96"/>
      <c r="AE105" s="100"/>
      <c r="AF105" s="101"/>
      <c r="AG105" s="100"/>
      <c r="AH105" s="96"/>
    </row>
    <row r="106" spans="1:34" s="92" customFormat="1" ht="20.100000000000001" customHeight="1" x14ac:dyDescent="0.25">
      <c r="A106" s="94"/>
      <c r="B106" s="132"/>
      <c r="C106" s="94"/>
      <c r="D106" s="95"/>
      <c r="E106" s="94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7"/>
      <c r="U106" s="98"/>
      <c r="V106" s="99"/>
      <c r="W106" s="99"/>
      <c r="X106" s="99"/>
      <c r="Y106" s="96"/>
      <c r="Z106" s="96"/>
      <c r="AA106" s="96"/>
      <c r="AB106" s="96"/>
      <c r="AC106" s="96"/>
      <c r="AD106" s="96"/>
      <c r="AE106" s="100"/>
      <c r="AF106" s="101"/>
      <c r="AG106" s="100"/>
      <c r="AH106" s="96"/>
    </row>
    <row r="107" spans="1:34" s="92" customFormat="1" ht="20.100000000000001" customHeight="1" x14ac:dyDescent="0.25">
      <c r="A107" s="94"/>
      <c r="B107" s="132"/>
      <c r="C107" s="94"/>
      <c r="D107" s="95"/>
      <c r="E107" s="94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7"/>
      <c r="U107" s="98"/>
      <c r="V107" s="99"/>
      <c r="W107" s="99"/>
      <c r="X107" s="99"/>
      <c r="Y107" s="96"/>
      <c r="Z107" s="96"/>
      <c r="AA107" s="96"/>
      <c r="AB107" s="96"/>
      <c r="AC107" s="96"/>
      <c r="AD107" s="96"/>
      <c r="AE107" s="100"/>
      <c r="AF107" s="101"/>
      <c r="AG107" s="100"/>
      <c r="AH107" s="96"/>
    </row>
    <row r="108" spans="1:34" s="92" customFormat="1" ht="20.100000000000001" customHeight="1" x14ac:dyDescent="0.25">
      <c r="A108" s="94"/>
      <c r="B108" s="132"/>
      <c r="C108" s="94"/>
      <c r="D108" s="95"/>
      <c r="E108" s="94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7"/>
      <c r="U108" s="98"/>
      <c r="V108" s="99"/>
      <c r="W108" s="99"/>
      <c r="X108" s="99"/>
      <c r="Y108" s="96"/>
      <c r="Z108" s="96"/>
      <c r="AA108" s="96"/>
      <c r="AB108" s="96"/>
      <c r="AC108" s="96"/>
      <c r="AD108" s="96"/>
      <c r="AE108" s="100"/>
      <c r="AF108" s="101"/>
      <c r="AG108" s="100"/>
      <c r="AH108" s="96"/>
    </row>
    <row r="109" spans="1:34" s="92" customFormat="1" ht="20.100000000000001" customHeight="1" thickBot="1" x14ac:dyDescent="0.3">
      <c r="A109" s="94"/>
      <c r="B109" s="132"/>
      <c r="C109" s="94"/>
      <c r="D109" s="95"/>
      <c r="E109" s="94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7"/>
      <c r="U109" s="98"/>
      <c r="V109" s="99"/>
      <c r="W109" s="99"/>
      <c r="X109" s="99"/>
      <c r="Y109" s="96"/>
      <c r="Z109" s="96"/>
      <c r="AA109" s="96"/>
      <c r="AB109" s="96"/>
      <c r="AC109" s="96"/>
      <c r="AD109" s="96"/>
      <c r="AE109" s="100"/>
      <c r="AF109" s="101"/>
      <c r="AG109" s="100"/>
      <c r="AH109" s="96"/>
    </row>
    <row r="110" spans="1:34" s="133" customFormat="1" ht="24" customHeight="1" x14ac:dyDescent="0.25">
      <c r="A110" s="149"/>
      <c r="B110" s="275" t="s">
        <v>171</v>
      </c>
      <c r="C110" s="151"/>
      <c r="D110" s="151"/>
      <c r="E110" s="151"/>
      <c r="F110" s="151"/>
      <c r="G110" s="151"/>
      <c r="H110" s="151"/>
      <c r="I110" s="151"/>
      <c r="J110" s="151"/>
      <c r="K110" s="151"/>
      <c r="L110" s="151"/>
      <c r="M110" s="151"/>
      <c r="N110" s="151"/>
      <c r="O110" s="151"/>
      <c r="P110" s="151"/>
      <c r="Q110" s="151"/>
      <c r="R110" s="151"/>
      <c r="S110" s="151"/>
      <c r="T110" s="151"/>
      <c r="U110" s="175">
        <f>SUM(U10:U109)</f>
        <v>18056207</v>
      </c>
      <c r="V110" s="151"/>
      <c r="W110" s="151"/>
      <c r="X110" s="151"/>
      <c r="Y110" s="151"/>
      <c r="Z110" s="151"/>
      <c r="AA110" s="151"/>
      <c r="AB110" s="151"/>
      <c r="AC110" s="151"/>
      <c r="AD110" s="151"/>
      <c r="AE110" s="151"/>
      <c r="AF110" s="175">
        <f>SUM(AF10:AF109)</f>
        <v>14090821</v>
      </c>
      <c r="AG110" s="151"/>
      <c r="AH110" s="151"/>
    </row>
    <row r="111" spans="1:34" s="92" customFormat="1" ht="20.100000000000001" customHeight="1" x14ac:dyDescent="0.25">
      <c r="A111" s="94">
        <v>1</v>
      </c>
      <c r="B111" s="168" t="s">
        <v>276</v>
      </c>
      <c r="C111" s="94" t="str">
        <f t="shared" ref="C111:C130" si="96">VLOOKUP($B111,llog_mbi_organike,4,FALSE)</f>
        <v>Nepunes_Civil_Kategoria_IV</v>
      </c>
      <c r="D111" s="95" t="str">
        <f t="shared" ref="D111:D130" si="97">VLOOKUP($B111,llog_mbi_organike,5,FALSE)</f>
        <v>IV-3</v>
      </c>
      <c r="E111" s="94">
        <f t="shared" ref="E111:E130" si="98">VLOOKUP($B111,llog_mbi_organike,6,FALSE)</f>
        <v>22</v>
      </c>
      <c r="F111" s="96">
        <f t="shared" ref="F111:F130" si="99">VLOOKUP($B111,llog_mbi_organike,10,FALSE)</f>
        <v>14000</v>
      </c>
      <c r="G111" s="96">
        <f t="shared" ref="G111:G130" si="100">VLOOKUP($B111,llog_mbi_organike,13,FALSE)</f>
        <v>60000</v>
      </c>
      <c r="H111" s="96">
        <f t="shared" ref="H111:H130" si="101">VLOOKUP($B111,llog_mbi_organike,15,FALSE)</f>
        <v>0</v>
      </c>
      <c r="I111" s="96">
        <f t="shared" ref="I111:I130" si="102">VLOOKUP($B111,llog_mbi_organike,19,FALSE)</f>
        <v>360</v>
      </c>
      <c r="J111" s="96">
        <f t="shared" ref="J111:J130" si="103">VLOOKUP($B111,llog_mbi_organike,21,FALSE)</f>
        <v>0</v>
      </c>
      <c r="K111" s="96">
        <f t="shared" ref="K111:K130" si="104">VLOOKUP($B111,llog_mbi_organike,23,FALSE)</f>
        <v>0</v>
      </c>
      <c r="L111" s="96">
        <f t="shared" ref="L111:L130" si="105">VLOOKUP($B111,llog_mbi_organike,25,FALSE)</f>
        <v>0</v>
      </c>
      <c r="M111" s="96">
        <f t="shared" ref="M111:M130" si="106">VLOOKUP($B111,llog_mbi_organike,27,FALSE)</f>
        <v>0</v>
      </c>
      <c r="N111" s="96">
        <f t="shared" ref="N111:N130" si="107">VLOOKUP($B111,llog_mbi_organike,29,FALSE)</f>
        <v>0</v>
      </c>
      <c r="O111" s="96">
        <f t="shared" ref="O111:O130" si="108">VLOOKUP($B111,llog_mbi_organike,30,FALSE)</f>
        <v>0</v>
      </c>
      <c r="P111" s="96">
        <f t="shared" ref="P111:P130" si="109">VLOOKUP($B111,llog_mbi_organike,31,FALSE)</f>
        <v>0</v>
      </c>
      <c r="Q111" s="96">
        <f t="shared" ref="Q111:Q130" si="110">VLOOKUP($B111,llog_mbi_organike,32,FALSE)</f>
        <v>0</v>
      </c>
      <c r="R111" s="96">
        <f t="shared" ref="R111:R130" si="111">VLOOKUP($B111,llog_mbi_organike,33,FALSE)</f>
        <v>0</v>
      </c>
      <c r="S111" s="96">
        <f t="shared" ref="S111:S130" si="112">VLOOKUP($B111,llog_mbi_organike,34,FALSE)</f>
        <v>0</v>
      </c>
      <c r="T111" s="97">
        <f t="shared" ref="T111:T130" si="113">VLOOKUP($B111,llog_mbi_organike,35,FALSE)</f>
        <v>0</v>
      </c>
      <c r="U111" s="98">
        <f t="shared" ref="U111:U130" si="114">VLOOKUP($B111,llog_mbi_organike,36,FALSE)</f>
        <v>74360</v>
      </c>
      <c r="V111" s="99">
        <f t="shared" ref="V111:V130" si="115">VLOOKUP($B111,llog_mbi_organike,37,FALSE)</f>
        <v>0</v>
      </c>
      <c r="W111" s="99">
        <f t="shared" ref="W111:W130" si="116">VLOOKUP($B111,llog_mbi_organike,38,FALSE)</f>
        <v>0</v>
      </c>
      <c r="X111" s="99">
        <f t="shared" ref="X111:X130" si="117">VLOOKUP($B111,llog_mbi_organike,39,FALSE)</f>
        <v>7064</v>
      </c>
      <c r="Y111" s="96">
        <f t="shared" ref="Y111:Y130" si="118">VLOOKUP($B111,llog_mbi_organike,40,FALSE)</f>
        <v>1264</v>
      </c>
      <c r="Z111" s="96">
        <f t="shared" ref="Z111:Z130" si="119">VLOOKUP($B111,llog_mbi_organike,42,FALSE)</f>
        <v>0</v>
      </c>
      <c r="AA111" s="96">
        <f t="shared" ref="AA111:AA130" si="120">VLOOKUP($B111,llog_mbi_organike,43,FALSE)</f>
        <v>5767</v>
      </c>
      <c r="AB111" s="96">
        <f t="shared" ref="AB111:AB130" si="121">VLOOKUP($B111,llog_mbi_organike,44,FALSE)</f>
        <v>0</v>
      </c>
      <c r="AC111" s="96">
        <f t="shared" ref="AC111:AC130" si="122">VLOOKUP($B111,llog_mbi_organike,45,FALSE)</f>
        <v>0</v>
      </c>
      <c r="AD111" s="96">
        <f t="shared" ref="AD111:AD130" si="123">VLOOKUP($B111,llog_mbi_organike,46,FALSE)</f>
        <v>0</v>
      </c>
      <c r="AE111" s="100">
        <f t="shared" ref="AE111:AE130" si="124">VLOOKUP($B111,llog_mbi_organike,47,FALSE)</f>
        <v>14095</v>
      </c>
      <c r="AF111" s="101">
        <f t="shared" ref="AF111:AF130" si="125">VLOOKUP($B111,llog_mbi_organike,48,FALSE)</f>
        <v>60265</v>
      </c>
      <c r="AG111" s="100">
        <f t="shared" ref="AG111:AG130" si="126">VLOOKUP($B111,llog_mbi_organike,49,FALSE)</f>
        <v>0</v>
      </c>
      <c r="AH111" s="96">
        <f t="shared" ref="AH111:AH130" si="127">VLOOKUP($B111,llog_mbi_organike,50,FALSE)</f>
        <v>0</v>
      </c>
    </row>
    <row r="112" spans="1:34" s="92" customFormat="1" ht="20.100000000000001" customHeight="1" x14ac:dyDescent="0.25">
      <c r="A112" s="94">
        <v>2</v>
      </c>
      <c r="B112" s="132" t="s">
        <v>277</v>
      </c>
      <c r="C112" s="94" t="str">
        <f t="shared" si="96"/>
        <v>Nepunes_Civil_Kategoria_IV</v>
      </c>
      <c r="D112" s="95" t="str">
        <f t="shared" si="97"/>
        <v>IV-3</v>
      </c>
      <c r="E112" s="94">
        <f t="shared" si="98"/>
        <v>22</v>
      </c>
      <c r="F112" s="96">
        <f t="shared" si="99"/>
        <v>14000</v>
      </c>
      <c r="G112" s="96">
        <f t="shared" si="100"/>
        <v>60000</v>
      </c>
      <c r="H112" s="96">
        <f t="shared" si="101"/>
        <v>0</v>
      </c>
      <c r="I112" s="96">
        <f t="shared" si="102"/>
        <v>720</v>
      </c>
      <c r="J112" s="96">
        <f t="shared" si="103"/>
        <v>0</v>
      </c>
      <c r="K112" s="96">
        <f t="shared" si="104"/>
        <v>0</v>
      </c>
      <c r="L112" s="96">
        <f t="shared" si="105"/>
        <v>0</v>
      </c>
      <c r="M112" s="96">
        <f t="shared" si="106"/>
        <v>0</v>
      </c>
      <c r="N112" s="96">
        <f t="shared" si="107"/>
        <v>0</v>
      </c>
      <c r="O112" s="96">
        <f t="shared" si="108"/>
        <v>0</v>
      </c>
      <c r="P112" s="96">
        <f t="shared" si="109"/>
        <v>0</v>
      </c>
      <c r="Q112" s="96">
        <f t="shared" si="110"/>
        <v>0</v>
      </c>
      <c r="R112" s="96">
        <f t="shared" si="111"/>
        <v>0</v>
      </c>
      <c r="S112" s="96">
        <f t="shared" si="112"/>
        <v>0</v>
      </c>
      <c r="T112" s="97">
        <f t="shared" si="113"/>
        <v>0</v>
      </c>
      <c r="U112" s="98">
        <f t="shared" si="114"/>
        <v>74720</v>
      </c>
      <c r="V112" s="99">
        <f t="shared" si="115"/>
        <v>0</v>
      </c>
      <c r="W112" s="99">
        <f t="shared" si="116"/>
        <v>0</v>
      </c>
      <c r="X112" s="99">
        <f t="shared" si="117"/>
        <v>7098</v>
      </c>
      <c r="Y112" s="96">
        <f t="shared" si="118"/>
        <v>1270</v>
      </c>
      <c r="Z112" s="96">
        <f t="shared" si="119"/>
        <v>0</v>
      </c>
      <c r="AA112" s="96">
        <f t="shared" si="120"/>
        <v>5814</v>
      </c>
      <c r="AB112" s="96">
        <f t="shared" si="121"/>
        <v>0</v>
      </c>
      <c r="AC112" s="96">
        <f t="shared" si="122"/>
        <v>0</v>
      </c>
      <c r="AD112" s="96">
        <f t="shared" si="123"/>
        <v>0</v>
      </c>
      <c r="AE112" s="100">
        <f t="shared" si="124"/>
        <v>14182</v>
      </c>
      <c r="AF112" s="101">
        <f t="shared" si="125"/>
        <v>60538</v>
      </c>
      <c r="AG112" s="100">
        <f t="shared" si="126"/>
        <v>0</v>
      </c>
      <c r="AH112" s="96">
        <f t="shared" si="127"/>
        <v>0</v>
      </c>
    </row>
    <row r="113" spans="1:34" s="92" customFormat="1" ht="20.100000000000001" customHeight="1" x14ac:dyDescent="0.25">
      <c r="A113" s="94">
        <v>3</v>
      </c>
      <c r="B113" s="132" t="s">
        <v>278</v>
      </c>
      <c r="C113" s="94" t="str">
        <f t="shared" si="96"/>
        <v>Nepunes_Civil_Kategoria_IV</v>
      </c>
      <c r="D113" s="95" t="str">
        <f t="shared" si="97"/>
        <v>IV-3</v>
      </c>
      <c r="E113" s="94">
        <f t="shared" si="98"/>
        <v>22</v>
      </c>
      <c r="F113" s="96">
        <f t="shared" si="99"/>
        <v>14000</v>
      </c>
      <c r="G113" s="96">
        <f t="shared" si="100"/>
        <v>60000</v>
      </c>
      <c r="H113" s="96">
        <f t="shared" si="101"/>
        <v>0</v>
      </c>
      <c r="I113" s="96">
        <f t="shared" si="102"/>
        <v>1080</v>
      </c>
      <c r="J113" s="96">
        <f t="shared" si="103"/>
        <v>0</v>
      </c>
      <c r="K113" s="96">
        <f t="shared" si="104"/>
        <v>0</v>
      </c>
      <c r="L113" s="96">
        <f t="shared" si="105"/>
        <v>0</v>
      </c>
      <c r="M113" s="96">
        <f t="shared" si="106"/>
        <v>0</v>
      </c>
      <c r="N113" s="96">
        <f t="shared" si="107"/>
        <v>0</v>
      </c>
      <c r="O113" s="96">
        <f t="shared" si="108"/>
        <v>0</v>
      </c>
      <c r="P113" s="96">
        <f t="shared" si="109"/>
        <v>0</v>
      </c>
      <c r="Q113" s="96">
        <f t="shared" si="110"/>
        <v>0</v>
      </c>
      <c r="R113" s="96">
        <f t="shared" si="111"/>
        <v>0</v>
      </c>
      <c r="S113" s="96">
        <f t="shared" si="112"/>
        <v>0</v>
      </c>
      <c r="T113" s="97">
        <f t="shared" si="113"/>
        <v>0</v>
      </c>
      <c r="U113" s="98">
        <f t="shared" si="114"/>
        <v>75080</v>
      </c>
      <c r="V113" s="99">
        <f t="shared" si="115"/>
        <v>0</v>
      </c>
      <c r="W113" s="99">
        <f t="shared" si="116"/>
        <v>0</v>
      </c>
      <c r="X113" s="99">
        <f t="shared" si="117"/>
        <v>7133</v>
      </c>
      <c r="Y113" s="96">
        <f t="shared" si="118"/>
        <v>1276</v>
      </c>
      <c r="Z113" s="96">
        <f t="shared" si="119"/>
        <v>0</v>
      </c>
      <c r="AA113" s="96">
        <f t="shared" si="120"/>
        <v>5860</v>
      </c>
      <c r="AB113" s="96">
        <f t="shared" si="121"/>
        <v>0</v>
      </c>
      <c r="AC113" s="96">
        <f t="shared" si="122"/>
        <v>0</v>
      </c>
      <c r="AD113" s="96">
        <f t="shared" si="123"/>
        <v>0</v>
      </c>
      <c r="AE113" s="100">
        <f t="shared" si="124"/>
        <v>14269</v>
      </c>
      <c r="AF113" s="101">
        <f t="shared" si="125"/>
        <v>60811</v>
      </c>
      <c r="AG113" s="100">
        <f t="shared" si="126"/>
        <v>0</v>
      </c>
      <c r="AH113" s="96">
        <f t="shared" si="127"/>
        <v>0</v>
      </c>
    </row>
    <row r="114" spans="1:34" s="92" customFormat="1" ht="20.100000000000001" customHeight="1" x14ac:dyDescent="0.25">
      <c r="A114" s="94">
        <v>4</v>
      </c>
      <c r="B114" s="132" t="s">
        <v>279</v>
      </c>
      <c r="C114" s="94" t="str">
        <f t="shared" si="96"/>
        <v>Nepunes_Civil_Kategoria_IV</v>
      </c>
      <c r="D114" s="95" t="str">
        <f t="shared" si="97"/>
        <v>IV-3</v>
      </c>
      <c r="E114" s="94">
        <f t="shared" si="98"/>
        <v>22</v>
      </c>
      <c r="F114" s="96">
        <f t="shared" si="99"/>
        <v>14000</v>
      </c>
      <c r="G114" s="96">
        <f t="shared" si="100"/>
        <v>60000</v>
      </c>
      <c r="H114" s="96">
        <f t="shared" si="101"/>
        <v>0</v>
      </c>
      <c r="I114" s="96">
        <f t="shared" si="102"/>
        <v>1440</v>
      </c>
      <c r="J114" s="96">
        <f t="shared" si="103"/>
        <v>0</v>
      </c>
      <c r="K114" s="96">
        <f t="shared" si="104"/>
        <v>0</v>
      </c>
      <c r="L114" s="96">
        <f t="shared" si="105"/>
        <v>0</v>
      </c>
      <c r="M114" s="96">
        <f t="shared" si="106"/>
        <v>0</v>
      </c>
      <c r="N114" s="96">
        <f t="shared" si="107"/>
        <v>0</v>
      </c>
      <c r="O114" s="96">
        <f t="shared" si="108"/>
        <v>0</v>
      </c>
      <c r="P114" s="96">
        <f t="shared" si="109"/>
        <v>0</v>
      </c>
      <c r="Q114" s="96">
        <f t="shared" si="110"/>
        <v>0</v>
      </c>
      <c r="R114" s="96">
        <f t="shared" si="111"/>
        <v>0</v>
      </c>
      <c r="S114" s="96">
        <f t="shared" si="112"/>
        <v>0</v>
      </c>
      <c r="T114" s="97">
        <f t="shared" si="113"/>
        <v>0</v>
      </c>
      <c r="U114" s="98">
        <f t="shared" si="114"/>
        <v>75440</v>
      </c>
      <c r="V114" s="99">
        <f t="shared" si="115"/>
        <v>0</v>
      </c>
      <c r="W114" s="99">
        <f t="shared" si="116"/>
        <v>0</v>
      </c>
      <c r="X114" s="99">
        <f t="shared" si="117"/>
        <v>7167</v>
      </c>
      <c r="Y114" s="96">
        <f t="shared" si="118"/>
        <v>1282</v>
      </c>
      <c r="Z114" s="96">
        <f t="shared" si="119"/>
        <v>0</v>
      </c>
      <c r="AA114" s="96">
        <f t="shared" si="120"/>
        <v>5907</v>
      </c>
      <c r="AB114" s="96">
        <f t="shared" si="121"/>
        <v>0</v>
      </c>
      <c r="AC114" s="96">
        <f t="shared" si="122"/>
        <v>0</v>
      </c>
      <c r="AD114" s="96">
        <f t="shared" si="123"/>
        <v>0</v>
      </c>
      <c r="AE114" s="100">
        <f t="shared" si="124"/>
        <v>14356</v>
      </c>
      <c r="AF114" s="101">
        <f t="shared" si="125"/>
        <v>61084</v>
      </c>
      <c r="AG114" s="100">
        <f t="shared" si="126"/>
        <v>0</v>
      </c>
      <c r="AH114" s="96">
        <f t="shared" si="127"/>
        <v>0</v>
      </c>
    </row>
    <row r="115" spans="1:34" s="92" customFormat="1" ht="20.100000000000001" customHeight="1" x14ac:dyDescent="0.25">
      <c r="A115" s="94">
        <v>5</v>
      </c>
      <c r="B115" s="132" t="s">
        <v>280</v>
      </c>
      <c r="C115" s="94" t="str">
        <f t="shared" si="96"/>
        <v>Nepunes_Civil_Kategoria_IV</v>
      </c>
      <c r="D115" s="95" t="str">
        <f t="shared" si="97"/>
        <v>IV-3</v>
      </c>
      <c r="E115" s="94">
        <f t="shared" si="98"/>
        <v>22</v>
      </c>
      <c r="F115" s="96">
        <f t="shared" si="99"/>
        <v>14000</v>
      </c>
      <c r="G115" s="96">
        <f t="shared" si="100"/>
        <v>60000</v>
      </c>
      <c r="H115" s="96">
        <f t="shared" si="101"/>
        <v>0</v>
      </c>
      <c r="I115" s="96">
        <f t="shared" si="102"/>
        <v>1800</v>
      </c>
      <c r="J115" s="96">
        <f t="shared" si="103"/>
        <v>0</v>
      </c>
      <c r="K115" s="96">
        <f t="shared" si="104"/>
        <v>0</v>
      </c>
      <c r="L115" s="96">
        <f t="shared" si="105"/>
        <v>0</v>
      </c>
      <c r="M115" s="96">
        <f t="shared" si="106"/>
        <v>0</v>
      </c>
      <c r="N115" s="96">
        <f t="shared" si="107"/>
        <v>0</v>
      </c>
      <c r="O115" s="96">
        <f t="shared" si="108"/>
        <v>0</v>
      </c>
      <c r="P115" s="96">
        <f t="shared" si="109"/>
        <v>0</v>
      </c>
      <c r="Q115" s="96">
        <f t="shared" si="110"/>
        <v>0</v>
      </c>
      <c r="R115" s="96">
        <f t="shared" si="111"/>
        <v>0</v>
      </c>
      <c r="S115" s="96">
        <f t="shared" si="112"/>
        <v>0</v>
      </c>
      <c r="T115" s="97">
        <f t="shared" si="113"/>
        <v>0</v>
      </c>
      <c r="U115" s="98">
        <f t="shared" si="114"/>
        <v>75800</v>
      </c>
      <c r="V115" s="99">
        <f t="shared" si="115"/>
        <v>0</v>
      </c>
      <c r="W115" s="99">
        <f t="shared" si="116"/>
        <v>0</v>
      </c>
      <c r="X115" s="99">
        <f t="shared" si="117"/>
        <v>7201</v>
      </c>
      <c r="Y115" s="96">
        <f t="shared" si="118"/>
        <v>1289</v>
      </c>
      <c r="Z115" s="96">
        <f t="shared" si="119"/>
        <v>0</v>
      </c>
      <c r="AA115" s="96">
        <f t="shared" si="120"/>
        <v>5954</v>
      </c>
      <c r="AB115" s="96">
        <f t="shared" si="121"/>
        <v>0</v>
      </c>
      <c r="AC115" s="96">
        <f t="shared" si="122"/>
        <v>0</v>
      </c>
      <c r="AD115" s="96">
        <f t="shared" si="123"/>
        <v>0</v>
      </c>
      <c r="AE115" s="100">
        <f t="shared" si="124"/>
        <v>14444</v>
      </c>
      <c r="AF115" s="101">
        <f t="shared" si="125"/>
        <v>61356</v>
      </c>
      <c r="AG115" s="100">
        <f t="shared" si="126"/>
        <v>0</v>
      </c>
      <c r="AH115" s="96">
        <f t="shared" si="127"/>
        <v>0</v>
      </c>
    </row>
    <row r="116" spans="1:34" s="92" customFormat="1" ht="20.100000000000001" customHeight="1" x14ac:dyDescent="0.25">
      <c r="A116" s="94">
        <v>6</v>
      </c>
      <c r="B116" s="132" t="s">
        <v>281</v>
      </c>
      <c r="C116" s="94" t="str">
        <f t="shared" si="96"/>
        <v>Nepunes_Civil_Kategoria_IV</v>
      </c>
      <c r="D116" s="95" t="str">
        <f t="shared" si="97"/>
        <v>IV-3</v>
      </c>
      <c r="E116" s="94">
        <f t="shared" si="98"/>
        <v>22</v>
      </c>
      <c r="F116" s="96">
        <f t="shared" si="99"/>
        <v>14000</v>
      </c>
      <c r="G116" s="96">
        <f t="shared" si="100"/>
        <v>60000</v>
      </c>
      <c r="H116" s="96">
        <f t="shared" si="101"/>
        <v>0</v>
      </c>
      <c r="I116" s="96">
        <f t="shared" si="102"/>
        <v>2160</v>
      </c>
      <c r="J116" s="96">
        <f t="shared" si="103"/>
        <v>0</v>
      </c>
      <c r="K116" s="96">
        <f t="shared" si="104"/>
        <v>0</v>
      </c>
      <c r="L116" s="96">
        <f t="shared" si="105"/>
        <v>0</v>
      </c>
      <c r="M116" s="96">
        <f t="shared" si="106"/>
        <v>0</v>
      </c>
      <c r="N116" s="96">
        <f t="shared" si="107"/>
        <v>0</v>
      </c>
      <c r="O116" s="96">
        <f t="shared" si="108"/>
        <v>0</v>
      </c>
      <c r="P116" s="96">
        <f t="shared" si="109"/>
        <v>0</v>
      </c>
      <c r="Q116" s="96">
        <f t="shared" si="110"/>
        <v>0</v>
      </c>
      <c r="R116" s="96">
        <f t="shared" si="111"/>
        <v>0</v>
      </c>
      <c r="S116" s="96">
        <f t="shared" si="112"/>
        <v>0</v>
      </c>
      <c r="T116" s="97">
        <f t="shared" si="113"/>
        <v>0</v>
      </c>
      <c r="U116" s="98">
        <f t="shared" si="114"/>
        <v>76160</v>
      </c>
      <c r="V116" s="99">
        <f t="shared" si="115"/>
        <v>0</v>
      </c>
      <c r="W116" s="99">
        <f t="shared" si="116"/>
        <v>0</v>
      </c>
      <c r="X116" s="99">
        <f t="shared" si="117"/>
        <v>7235</v>
      </c>
      <c r="Y116" s="96">
        <f t="shared" si="118"/>
        <v>1295</v>
      </c>
      <c r="Z116" s="96">
        <f t="shared" si="119"/>
        <v>0</v>
      </c>
      <c r="AA116" s="96">
        <f t="shared" si="120"/>
        <v>6001</v>
      </c>
      <c r="AB116" s="96">
        <f t="shared" si="121"/>
        <v>0</v>
      </c>
      <c r="AC116" s="96">
        <f t="shared" si="122"/>
        <v>0</v>
      </c>
      <c r="AD116" s="96">
        <f t="shared" si="123"/>
        <v>0</v>
      </c>
      <c r="AE116" s="100">
        <f t="shared" si="124"/>
        <v>14531</v>
      </c>
      <c r="AF116" s="101">
        <f t="shared" si="125"/>
        <v>61629</v>
      </c>
      <c r="AG116" s="100">
        <f t="shared" si="126"/>
        <v>0</v>
      </c>
      <c r="AH116" s="96">
        <f t="shared" si="127"/>
        <v>0</v>
      </c>
    </row>
    <row r="117" spans="1:34" s="92" customFormat="1" ht="20.100000000000001" customHeight="1" x14ac:dyDescent="0.25">
      <c r="A117" s="94">
        <v>7</v>
      </c>
      <c r="B117" s="132" t="s">
        <v>282</v>
      </c>
      <c r="C117" s="94" t="str">
        <f t="shared" si="96"/>
        <v>Nepunes_Civil_Kategoria_IV</v>
      </c>
      <c r="D117" s="95" t="str">
        <f t="shared" si="97"/>
        <v>IV-3</v>
      </c>
      <c r="E117" s="94">
        <f t="shared" si="98"/>
        <v>22</v>
      </c>
      <c r="F117" s="96">
        <f t="shared" si="99"/>
        <v>14000</v>
      </c>
      <c r="G117" s="96">
        <f t="shared" si="100"/>
        <v>60000</v>
      </c>
      <c r="H117" s="96">
        <f t="shared" si="101"/>
        <v>0</v>
      </c>
      <c r="I117" s="96">
        <f t="shared" si="102"/>
        <v>2520</v>
      </c>
      <c r="J117" s="96">
        <f t="shared" si="103"/>
        <v>0</v>
      </c>
      <c r="K117" s="96">
        <f t="shared" si="104"/>
        <v>0</v>
      </c>
      <c r="L117" s="96">
        <f t="shared" si="105"/>
        <v>0</v>
      </c>
      <c r="M117" s="96">
        <f t="shared" si="106"/>
        <v>0</v>
      </c>
      <c r="N117" s="96">
        <f t="shared" si="107"/>
        <v>0</v>
      </c>
      <c r="O117" s="96">
        <f t="shared" si="108"/>
        <v>0</v>
      </c>
      <c r="P117" s="96">
        <f t="shared" si="109"/>
        <v>0</v>
      </c>
      <c r="Q117" s="96">
        <f t="shared" si="110"/>
        <v>0</v>
      </c>
      <c r="R117" s="96">
        <f t="shared" si="111"/>
        <v>0</v>
      </c>
      <c r="S117" s="96">
        <f t="shared" si="112"/>
        <v>0</v>
      </c>
      <c r="T117" s="97">
        <f t="shared" si="113"/>
        <v>0</v>
      </c>
      <c r="U117" s="98">
        <f t="shared" si="114"/>
        <v>76520</v>
      </c>
      <c r="V117" s="99">
        <f t="shared" si="115"/>
        <v>0</v>
      </c>
      <c r="W117" s="99">
        <f t="shared" si="116"/>
        <v>0</v>
      </c>
      <c r="X117" s="99">
        <f t="shared" si="117"/>
        <v>7269</v>
      </c>
      <c r="Y117" s="96">
        <f t="shared" si="118"/>
        <v>1301</v>
      </c>
      <c r="Z117" s="96">
        <f t="shared" si="119"/>
        <v>0</v>
      </c>
      <c r="AA117" s="96">
        <f t="shared" si="120"/>
        <v>6048</v>
      </c>
      <c r="AB117" s="96">
        <f t="shared" si="121"/>
        <v>0</v>
      </c>
      <c r="AC117" s="96">
        <f t="shared" si="122"/>
        <v>0</v>
      </c>
      <c r="AD117" s="96">
        <f t="shared" si="123"/>
        <v>0</v>
      </c>
      <c r="AE117" s="100">
        <f t="shared" si="124"/>
        <v>14618</v>
      </c>
      <c r="AF117" s="101">
        <f t="shared" si="125"/>
        <v>61902</v>
      </c>
      <c r="AG117" s="100">
        <f t="shared" si="126"/>
        <v>0</v>
      </c>
      <c r="AH117" s="96">
        <f t="shared" si="127"/>
        <v>0</v>
      </c>
    </row>
    <row r="118" spans="1:34" s="92" customFormat="1" ht="20.100000000000001" customHeight="1" x14ac:dyDescent="0.25">
      <c r="A118" s="94">
        <v>8</v>
      </c>
      <c r="B118" s="132" t="s">
        <v>283</v>
      </c>
      <c r="C118" s="94" t="str">
        <f t="shared" si="96"/>
        <v>Nepunes_Civil_Kategoria_IV</v>
      </c>
      <c r="D118" s="95" t="str">
        <f t="shared" si="97"/>
        <v>IV-3</v>
      </c>
      <c r="E118" s="94">
        <f t="shared" si="98"/>
        <v>22</v>
      </c>
      <c r="F118" s="96">
        <f t="shared" si="99"/>
        <v>14000</v>
      </c>
      <c r="G118" s="96">
        <f t="shared" si="100"/>
        <v>60000</v>
      </c>
      <c r="H118" s="96">
        <f t="shared" si="101"/>
        <v>0</v>
      </c>
      <c r="I118" s="96">
        <f t="shared" si="102"/>
        <v>2880</v>
      </c>
      <c r="J118" s="96">
        <f t="shared" si="103"/>
        <v>0</v>
      </c>
      <c r="K118" s="96">
        <f t="shared" si="104"/>
        <v>0</v>
      </c>
      <c r="L118" s="96">
        <f t="shared" si="105"/>
        <v>0</v>
      </c>
      <c r="M118" s="96">
        <f t="shared" si="106"/>
        <v>0</v>
      </c>
      <c r="N118" s="96">
        <f t="shared" si="107"/>
        <v>0</v>
      </c>
      <c r="O118" s="96">
        <f t="shared" si="108"/>
        <v>0</v>
      </c>
      <c r="P118" s="96">
        <f t="shared" si="109"/>
        <v>0</v>
      </c>
      <c r="Q118" s="96">
        <f t="shared" si="110"/>
        <v>0</v>
      </c>
      <c r="R118" s="96">
        <f t="shared" si="111"/>
        <v>0</v>
      </c>
      <c r="S118" s="96">
        <f t="shared" si="112"/>
        <v>0</v>
      </c>
      <c r="T118" s="97">
        <f t="shared" si="113"/>
        <v>0</v>
      </c>
      <c r="U118" s="98">
        <f t="shared" si="114"/>
        <v>76880</v>
      </c>
      <c r="V118" s="99">
        <f t="shared" si="115"/>
        <v>0</v>
      </c>
      <c r="W118" s="99">
        <f t="shared" si="116"/>
        <v>0</v>
      </c>
      <c r="X118" s="99">
        <f t="shared" si="117"/>
        <v>7304</v>
      </c>
      <c r="Y118" s="96">
        <f t="shared" si="118"/>
        <v>1307</v>
      </c>
      <c r="Z118" s="96">
        <f t="shared" si="119"/>
        <v>0</v>
      </c>
      <c r="AA118" s="96">
        <f t="shared" si="120"/>
        <v>6094</v>
      </c>
      <c r="AB118" s="96">
        <f t="shared" si="121"/>
        <v>0</v>
      </c>
      <c r="AC118" s="96">
        <f t="shared" si="122"/>
        <v>0</v>
      </c>
      <c r="AD118" s="96">
        <f t="shared" si="123"/>
        <v>0</v>
      </c>
      <c r="AE118" s="100">
        <f t="shared" si="124"/>
        <v>14705</v>
      </c>
      <c r="AF118" s="101">
        <f t="shared" si="125"/>
        <v>62175</v>
      </c>
      <c r="AG118" s="100">
        <f t="shared" si="126"/>
        <v>0</v>
      </c>
      <c r="AH118" s="96">
        <f t="shared" si="127"/>
        <v>0</v>
      </c>
    </row>
    <row r="119" spans="1:34" s="92" customFormat="1" ht="20.100000000000001" customHeight="1" x14ac:dyDescent="0.25">
      <c r="A119" s="94">
        <v>9</v>
      </c>
      <c r="B119" s="132" t="s">
        <v>284</v>
      </c>
      <c r="C119" s="94" t="str">
        <f t="shared" si="96"/>
        <v>Nepunes_Civil_Kategoria_IV</v>
      </c>
      <c r="D119" s="95" t="str">
        <f t="shared" si="97"/>
        <v>IV-3</v>
      </c>
      <c r="E119" s="94">
        <f t="shared" si="98"/>
        <v>22</v>
      </c>
      <c r="F119" s="96">
        <f t="shared" si="99"/>
        <v>14000</v>
      </c>
      <c r="G119" s="96">
        <f t="shared" si="100"/>
        <v>60000</v>
      </c>
      <c r="H119" s="96">
        <f t="shared" si="101"/>
        <v>0</v>
      </c>
      <c r="I119" s="96">
        <f t="shared" si="102"/>
        <v>3240</v>
      </c>
      <c r="J119" s="96">
        <f t="shared" si="103"/>
        <v>0</v>
      </c>
      <c r="K119" s="96">
        <f t="shared" si="104"/>
        <v>0</v>
      </c>
      <c r="L119" s="96">
        <f t="shared" si="105"/>
        <v>0</v>
      </c>
      <c r="M119" s="96">
        <f t="shared" si="106"/>
        <v>0</v>
      </c>
      <c r="N119" s="96">
        <f t="shared" si="107"/>
        <v>0</v>
      </c>
      <c r="O119" s="96">
        <f t="shared" si="108"/>
        <v>0</v>
      </c>
      <c r="P119" s="96">
        <f t="shared" si="109"/>
        <v>0</v>
      </c>
      <c r="Q119" s="96">
        <f t="shared" si="110"/>
        <v>0</v>
      </c>
      <c r="R119" s="96">
        <f t="shared" si="111"/>
        <v>0</v>
      </c>
      <c r="S119" s="96">
        <f t="shared" si="112"/>
        <v>0</v>
      </c>
      <c r="T119" s="97">
        <f t="shared" si="113"/>
        <v>0</v>
      </c>
      <c r="U119" s="98">
        <f t="shared" si="114"/>
        <v>77240</v>
      </c>
      <c r="V119" s="99">
        <f t="shared" si="115"/>
        <v>0</v>
      </c>
      <c r="W119" s="99">
        <f t="shared" si="116"/>
        <v>0</v>
      </c>
      <c r="X119" s="99">
        <f t="shared" si="117"/>
        <v>7338</v>
      </c>
      <c r="Y119" s="96">
        <f t="shared" si="118"/>
        <v>1313</v>
      </c>
      <c r="Z119" s="96">
        <f t="shared" si="119"/>
        <v>0</v>
      </c>
      <c r="AA119" s="96">
        <f t="shared" si="120"/>
        <v>6141</v>
      </c>
      <c r="AB119" s="96">
        <f t="shared" si="121"/>
        <v>0</v>
      </c>
      <c r="AC119" s="96">
        <f t="shared" si="122"/>
        <v>0</v>
      </c>
      <c r="AD119" s="96">
        <f t="shared" si="123"/>
        <v>0</v>
      </c>
      <c r="AE119" s="100">
        <f t="shared" si="124"/>
        <v>14792</v>
      </c>
      <c r="AF119" s="101">
        <f t="shared" si="125"/>
        <v>62448</v>
      </c>
      <c r="AG119" s="100">
        <f t="shared" si="126"/>
        <v>0</v>
      </c>
      <c r="AH119" s="96">
        <f t="shared" si="127"/>
        <v>0</v>
      </c>
    </row>
    <row r="120" spans="1:34" s="92" customFormat="1" ht="20.100000000000001" customHeight="1" x14ac:dyDescent="0.25">
      <c r="A120" s="94">
        <v>10</v>
      </c>
      <c r="B120" s="132" t="s">
        <v>285</v>
      </c>
      <c r="C120" s="94" t="str">
        <f t="shared" si="96"/>
        <v>Nepunes_Civil_Kategoria_IV</v>
      </c>
      <c r="D120" s="95" t="str">
        <f t="shared" si="97"/>
        <v>IV-3</v>
      </c>
      <c r="E120" s="94">
        <f t="shared" si="98"/>
        <v>22</v>
      </c>
      <c r="F120" s="96">
        <f t="shared" si="99"/>
        <v>14000</v>
      </c>
      <c r="G120" s="96">
        <f t="shared" si="100"/>
        <v>60000</v>
      </c>
      <c r="H120" s="96">
        <f t="shared" si="101"/>
        <v>0</v>
      </c>
      <c r="I120" s="96">
        <f t="shared" si="102"/>
        <v>3600</v>
      </c>
      <c r="J120" s="96">
        <f t="shared" si="103"/>
        <v>0</v>
      </c>
      <c r="K120" s="96">
        <f t="shared" si="104"/>
        <v>0</v>
      </c>
      <c r="L120" s="96">
        <f t="shared" si="105"/>
        <v>0</v>
      </c>
      <c r="M120" s="96">
        <f t="shared" si="106"/>
        <v>0</v>
      </c>
      <c r="N120" s="96">
        <f t="shared" si="107"/>
        <v>0</v>
      </c>
      <c r="O120" s="96">
        <f t="shared" si="108"/>
        <v>0</v>
      </c>
      <c r="P120" s="96">
        <f t="shared" si="109"/>
        <v>0</v>
      </c>
      <c r="Q120" s="96">
        <f t="shared" si="110"/>
        <v>0</v>
      </c>
      <c r="R120" s="96">
        <f t="shared" si="111"/>
        <v>0</v>
      </c>
      <c r="S120" s="96">
        <f t="shared" si="112"/>
        <v>0</v>
      </c>
      <c r="T120" s="97">
        <f t="shared" si="113"/>
        <v>0</v>
      </c>
      <c r="U120" s="98">
        <f t="shared" si="114"/>
        <v>77600</v>
      </c>
      <c r="V120" s="99">
        <f t="shared" si="115"/>
        <v>0</v>
      </c>
      <c r="W120" s="99">
        <f t="shared" si="116"/>
        <v>0</v>
      </c>
      <c r="X120" s="99">
        <f t="shared" si="117"/>
        <v>7372</v>
      </c>
      <c r="Y120" s="96">
        <f t="shared" si="118"/>
        <v>1319</v>
      </c>
      <c r="Z120" s="96">
        <f t="shared" si="119"/>
        <v>0</v>
      </c>
      <c r="AA120" s="96">
        <f t="shared" si="120"/>
        <v>6188</v>
      </c>
      <c r="AB120" s="96">
        <f t="shared" si="121"/>
        <v>0</v>
      </c>
      <c r="AC120" s="96">
        <f t="shared" si="122"/>
        <v>0</v>
      </c>
      <c r="AD120" s="96">
        <f t="shared" si="123"/>
        <v>0</v>
      </c>
      <c r="AE120" s="100">
        <f t="shared" si="124"/>
        <v>14879</v>
      </c>
      <c r="AF120" s="101">
        <f t="shared" si="125"/>
        <v>62721</v>
      </c>
      <c r="AG120" s="100">
        <f t="shared" si="126"/>
        <v>0</v>
      </c>
      <c r="AH120" s="96">
        <f t="shared" si="127"/>
        <v>0</v>
      </c>
    </row>
    <row r="121" spans="1:34" s="92" customFormat="1" ht="20.100000000000001" customHeight="1" x14ac:dyDescent="0.25">
      <c r="A121" s="94">
        <v>11</v>
      </c>
      <c r="B121" s="132" t="s">
        <v>315</v>
      </c>
      <c r="C121" s="94" t="str">
        <f t="shared" si="96"/>
        <v>Punonjes Mbeshtetes VI</v>
      </c>
      <c r="D121" s="95" t="str">
        <f t="shared" si="97"/>
        <v>VI</v>
      </c>
      <c r="E121" s="94">
        <f t="shared" si="98"/>
        <v>22</v>
      </c>
      <c r="F121" s="96">
        <f t="shared" si="99"/>
        <v>0</v>
      </c>
      <c r="G121" s="96">
        <f t="shared" si="100"/>
        <v>44000</v>
      </c>
      <c r="H121" s="96">
        <f t="shared" si="101"/>
        <v>0</v>
      </c>
      <c r="I121" s="96">
        <f t="shared" si="102"/>
        <v>4840</v>
      </c>
      <c r="J121" s="96">
        <f t="shared" si="103"/>
        <v>0</v>
      </c>
      <c r="K121" s="96">
        <f t="shared" si="104"/>
        <v>0</v>
      </c>
      <c r="L121" s="96">
        <f t="shared" si="105"/>
        <v>0</v>
      </c>
      <c r="M121" s="96">
        <f t="shared" si="106"/>
        <v>0</v>
      </c>
      <c r="N121" s="96">
        <f t="shared" si="107"/>
        <v>1</v>
      </c>
      <c r="O121" s="96">
        <f t="shared" si="108"/>
        <v>0</v>
      </c>
      <c r="P121" s="96">
        <f t="shared" si="109"/>
        <v>0</v>
      </c>
      <c r="Q121" s="96">
        <f t="shared" si="110"/>
        <v>0</v>
      </c>
      <c r="R121" s="96">
        <f t="shared" si="111"/>
        <v>0</v>
      </c>
      <c r="S121" s="96">
        <f t="shared" si="112"/>
        <v>0</v>
      </c>
      <c r="T121" s="97">
        <f t="shared" si="113"/>
        <v>0</v>
      </c>
      <c r="U121" s="98">
        <f t="shared" si="114"/>
        <v>48841</v>
      </c>
      <c r="V121" s="99">
        <f t="shared" si="115"/>
        <v>0</v>
      </c>
      <c r="W121" s="99">
        <f t="shared" si="116"/>
        <v>0</v>
      </c>
      <c r="X121" s="99">
        <f t="shared" si="117"/>
        <v>4640</v>
      </c>
      <c r="Y121" s="96">
        <f t="shared" si="118"/>
        <v>830</v>
      </c>
      <c r="Z121" s="96">
        <f t="shared" si="119"/>
        <v>0</v>
      </c>
      <c r="AA121" s="96">
        <f t="shared" si="120"/>
        <v>0</v>
      </c>
      <c r="AB121" s="96">
        <f t="shared" si="121"/>
        <v>0</v>
      </c>
      <c r="AC121" s="96">
        <f t="shared" si="122"/>
        <v>0</v>
      </c>
      <c r="AD121" s="96">
        <f t="shared" si="123"/>
        <v>0</v>
      </c>
      <c r="AE121" s="100">
        <f t="shared" si="124"/>
        <v>5470</v>
      </c>
      <c r="AF121" s="101">
        <f t="shared" si="125"/>
        <v>43371</v>
      </c>
      <c r="AG121" s="100">
        <f t="shared" si="126"/>
        <v>0</v>
      </c>
      <c r="AH121" s="96">
        <f t="shared" si="127"/>
        <v>0</v>
      </c>
    </row>
    <row r="122" spans="1:34" s="92" customFormat="1" ht="20.100000000000001" customHeight="1" x14ac:dyDescent="0.25">
      <c r="A122" s="94">
        <v>12</v>
      </c>
      <c r="B122" s="132" t="s">
        <v>316</v>
      </c>
      <c r="C122" s="94" t="str">
        <f t="shared" si="96"/>
        <v>Punonjes Mbeshtetes VI</v>
      </c>
      <c r="D122" s="95" t="str">
        <f t="shared" si="97"/>
        <v>VI</v>
      </c>
      <c r="E122" s="94">
        <f t="shared" si="98"/>
        <v>22</v>
      </c>
      <c r="F122" s="96">
        <f t="shared" si="99"/>
        <v>0</v>
      </c>
      <c r="G122" s="96">
        <f t="shared" si="100"/>
        <v>44000</v>
      </c>
      <c r="H122" s="96">
        <f t="shared" si="101"/>
        <v>0</v>
      </c>
      <c r="I122" s="96">
        <f t="shared" si="102"/>
        <v>5280</v>
      </c>
      <c r="J122" s="96">
        <f t="shared" si="103"/>
        <v>0</v>
      </c>
      <c r="K122" s="96">
        <f t="shared" si="104"/>
        <v>0</v>
      </c>
      <c r="L122" s="96">
        <f t="shared" si="105"/>
        <v>0</v>
      </c>
      <c r="M122" s="96">
        <f t="shared" si="106"/>
        <v>0</v>
      </c>
      <c r="N122" s="96">
        <f t="shared" si="107"/>
        <v>2</v>
      </c>
      <c r="O122" s="96">
        <f t="shared" si="108"/>
        <v>0</v>
      </c>
      <c r="P122" s="96">
        <f t="shared" si="109"/>
        <v>0</v>
      </c>
      <c r="Q122" s="96">
        <f t="shared" si="110"/>
        <v>0</v>
      </c>
      <c r="R122" s="96">
        <f t="shared" si="111"/>
        <v>0</v>
      </c>
      <c r="S122" s="96">
        <f t="shared" si="112"/>
        <v>0</v>
      </c>
      <c r="T122" s="97">
        <f t="shared" si="113"/>
        <v>0</v>
      </c>
      <c r="U122" s="98">
        <f t="shared" si="114"/>
        <v>49282</v>
      </c>
      <c r="V122" s="99">
        <f t="shared" si="115"/>
        <v>0</v>
      </c>
      <c r="W122" s="99">
        <f t="shared" si="116"/>
        <v>0</v>
      </c>
      <c r="X122" s="99">
        <f t="shared" si="117"/>
        <v>4682</v>
      </c>
      <c r="Y122" s="96">
        <f t="shared" si="118"/>
        <v>838</v>
      </c>
      <c r="Z122" s="96">
        <f t="shared" si="119"/>
        <v>0</v>
      </c>
      <c r="AA122" s="96">
        <f t="shared" si="120"/>
        <v>0</v>
      </c>
      <c r="AB122" s="96">
        <f t="shared" si="121"/>
        <v>0</v>
      </c>
      <c r="AC122" s="96">
        <f t="shared" si="122"/>
        <v>0</v>
      </c>
      <c r="AD122" s="96">
        <f t="shared" si="123"/>
        <v>0</v>
      </c>
      <c r="AE122" s="100">
        <f t="shared" si="124"/>
        <v>5520</v>
      </c>
      <c r="AF122" s="101">
        <f t="shared" si="125"/>
        <v>43762</v>
      </c>
      <c r="AG122" s="100">
        <f t="shared" si="126"/>
        <v>0</v>
      </c>
      <c r="AH122" s="96">
        <f t="shared" si="127"/>
        <v>0</v>
      </c>
    </row>
    <row r="123" spans="1:34" s="92" customFormat="1" ht="20.100000000000001" customHeight="1" x14ac:dyDescent="0.25">
      <c r="A123" s="94">
        <v>13</v>
      </c>
      <c r="B123" s="132" t="s">
        <v>317</v>
      </c>
      <c r="C123" s="94" t="str">
        <f t="shared" si="96"/>
        <v>Punonjes Mbeshtetes VI</v>
      </c>
      <c r="D123" s="95" t="str">
        <f t="shared" si="97"/>
        <v>VI</v>
      </c>
      <c r="E123" s="94">
        <f t="shared" si="98"/>
        <v>22</v>
      </c>
      <c r="F123" s="96">
        <f t="shared" si="99"/>
        <v>0</v>
      </c>
      <c r="G123" s="96">
        <f t="shared" si="100"/>
        <v>44000</v>
      </c>
      <c r="H123" s="96">
        <f t="shared" si="101"/>
        <v>0</v>
      </c>
      <c r="I123" s="96">
        <f t="shared" si="102"/>
        <v>5720</v>
      </c>
      <c r="J123" s="96">
        <f t="shared" si="103"/>
        <v>0</v>
      </c>
      <c r="K123" s="96">
        <f t="shared" si="104"/>
        <v>0</v>
      </c>
      <c r="L123" s="96">
        <f t="shared" si="105"/>
        <v>0</v>
      </c>
      <c r="M123" s="96">
        <f t="shared" si="106"/>
        <v>0</v>
      </c>
      <c r="N123" s="96">
        <f t="shared" si="107"/>
        <v>3</v>
      </c>
      <c r="O123" s="96">
        <f t="shared" si="108"/>
        <v>0</v>
      </c>
      <c r="P123" s="96">
        <f t="shared" si="109"/>
        <v>0</v>
      </c>
      <c r="Q123" s="96">
        <f t="shared" si="110"/>
        <v>0</v>
      </c>
      <c r="R123" s="96">
        <f t="shared" si="111"/>
        <v>0</v>
      </c>
      <c r="S123" s="96">
        <f t="shared" si="112"/>
        <v>0</v>
      </c>
      <c r="T123" s="97">
        <f t="shared" si="113"/>
        <v>0</v>
      </c>
      <c r="U123" s="98">
        <f t="shared" si="114"/>
        <v>49723</v>
      </c>
      <c r="V123" s="99">
        <f t="shared" si="115"/>
        <v>0</v>
      </c>
      <c r="W123" s="99">
        <f t="shared" si="116"/>
        <v>0</v>
      </c>
      <c r="X123" s="99">
        <f t="shared" si="117"/>
        <v>4724</v>
      </c>
      <c r="Y123" s="96">
        <f t="shared" si="118"/>
        <v>845</v>
      </c>
      <c r="Z123" s="96">
        <f t="shared" si="119"/>
        <v>0</v>
      </c>
      <c r="AA123" s="96">
        <f t="shared" si="120"/>
        <v>0</v>
      </c>
      <c r="AB123" s="96">
        <f t="shared" si="121"/>
        <v>0</v>
      </c>
      <c r="AC123" s="96">
        <f t="shared" si="122"/>
        <v>0</v>
      </c>
      <c r="AD123" s="96">
        <f t="shared" si="123"/>
        <v>0</v>
      </c>
      <c r="AE123" s="100">
        <f t="shared" si="124"/>
        <v>5569</v>
      </c>
      <c r="AF123" s="101">
        <f t="shared" si="125"/>
        <v>44154</v>
      </c>
      <c r="AG123" s="100">
        <f t="shared" si="126"/>
        <v>0</v>
      </c>
      <c r="AH123" s="96">
        <f t="shared" si="127"/>
        <v>0</v>
      </c>
    </row>
    <row r="124" spans="1:34" s="92" customFormat="1" ht="20.100000000000001" customHeight="1" x14ac:dyDescent="0.25">
      <c r="A124" s="94">
        <v>14</v>
      </c>
      <c r="B124" s="132" t="s">
        <v>318</v>
      </c>
      <c r="C124" s="94" t="str">
        <f t="shared" si="96"/>
        <v>Punonjes Mbeshtetes VI</v>
      </c>
      <c r="D124" s="95" t="str">
        <f t="shared" si="97"/>
        <v>VI</v>
      </c>
      <c r="E124" s="94">
        <f t="shared" si="98"/>
        <v>22</v>
      </c>
      <c r="F124" s="96">
        <f t="shared" si="99"/>
        <v>0</v>
      </c>
      <c r="G124" s="96">
        <f t="shared" si="100"/>
        <v>44000</v>
      </c>
      <c r="H124" s="96">
        <f t="shared" si="101"/>
        <v>0</v>
      </c>
      <c r="I124" s="96">
        <f t="shared" si="102"/>
        <v>6160</v>
      </c>
      <c r="J124" s="96">
        <f t="shared" si="103"/>
        <v>0</v>
      </c>
      <c r="K124" s="96">
        <f t="shared" si="104"/>
        <v>0</v>
      </c>
      <c r="L124" s="96">
        <f t="shared" si="105"/>
        <v>0</v>
      </c>
      <c r="M124" s="96">
        <f t="shared" si="106"/>
        <v>0</v>
      </c>
      <c r="N124" s="96">
        <f t="shared" si="107"/>
        <v>4</v>
      </c>
      <c r="O124" s="96">
        <f t="shared" si="108"/>
        <v>0</v>
      </c>
      <c r="P124" s="96">
        <f t="shared" si="109"/>
        <v>0</v>
      </c>
      <c r="Q124" s="96">
        <f t="shared" si="110"/>
        <v>0</v>
      </c>
      <c r="R124" s="96">
        <f t="shared" si="111"/>
        <v>0</v>
      </c>
      <c r="S124" s="96">
        <f t="shared" si="112"/>
        <v>0</v>
      </c>
      <c r="T124" s="97">
        <f t="shared" si="113"/>
        <v>0</v>
      </c>
      <c r="U124" s="98">
        <f t="shared" si="114"/>
        <v>50164</v>
      </c>
      <c r="V124" s="99">
        <f t="shared" si="115"/>
        <v>0</v>
      </c>
      <c r="W124" s="99">
        <f t="shared" si="116"/>
        <v>0</v>
      </c>
      <c r="X124" s="99">
        <f t="shared" si="117"/>
        <v>4766</v>
      </c>
      <c r="Y124" s="96">
        <f t="shared" si="118"/>
        <v>853</v>
      </c>
      <c r="Z124" s="96">
        <f t="shared" si="119"/>
        <v>0</v>
      </c>
      <c r="AA124" s="96">
        <f t="shared" si="120"/>
        <v>1971</v>
      </c>
      <c r="AB124" s="96">
        <f t="shared" si="121"/>
        <v>0</v>
      </c>
      <c r="AC124" s="96">
        <f t="shared" si="122"/>
        <v>0</v>
      </c>
      <c r="AD124" s="96">
        <f t="shared" si="123"/>
        <v>0</v>
      </c>
      <c r="AE124" s="100">
        <f t="shared" si="124"/>
        <v>7590</v>
      </c>
      <c r="AF124" s="101">
        <f t="shared" si="125"/>
        <v>42574</v>
      </c>
      <c r="AG124" s="100">
        <f t="shared" si="126"/>
        <v>0</v>
      </c>
      <c r="AH124" s="96">
        <f t="shared" si="127"/>
        <v>0</v>
      </c>
    </row>
    <row r="125" spans="1:34" s="92" customFormat="1" ht="20.100000000000001" customHeight="1" x14ac:dyDescent="0.25">
      <c r="A125" s="94">
        <v>15</v>
      </c>
      <c r="B125" s="132" t="s">
        <v>319</v>
      </c>
      <c r="C125" s="94" t="str">
        <f t="shared" si="96"/>
        <v>Punonjes Mbeshtetes VI</v>
      </c>
      <c r="D125" s="95" t="str">
        <f t="shared" si="97"/>
        <v>VI</v>
      </c>
      <c r="E125" s="94">
        <f t="shared" si="98"/>
        <v>22</v>
      </c>
      <c r="F125" s="96">
        <f t="shared" si="99"/>
        <v>0</v>
      </c>
      <c r="G125" s="96">
        <f t="shared" si="100"/>
        <v>44000</v>
      </c>
      <c r="H125" s="96">
        <f t="shared" si="101"/>
        <v>0</v>
      </c>
      <c r="I125" s="96">
        <f t="shared" si="102"/>
        <v>6600</v>
      </c>
      <c r="J125" s="96">
        <f t="shared" si="103"/>
        <v>0</v>
      </c>
      <c r="K125" s="96">
        <f t="shared" si="104"/>
        <v>0</v>
      </c>
      <c r="L125" s="96">
        <f t="shared" si="105"/>
        <v>0</v>
      </c>
      <c r="M125" s="96">
        <f t="shared" si="106"/>
        <v>0</v>
      </c>
      <c r="N125" s="96">
        <f t="shared" si="107"/>
        <v>5</v>
      </c>
      <c r="O125" s="96">
        <f t="shared" si="108"/>
        <v>0</v>
      </c>
      <c r="P125" s="96">
        <f t="shared" si="109"/>
        <v>0</v>
      </c>
      <c r="Q125" s="96">
        <f t="shared" si="110"/>
        <v>0</v>
      </c>
      <c r="R125" s="96">
        <f t="shared" si="111"/>
        <v>0</v>
      </c>
      <c r="S125" s="96">
        <f t="shared" si="112"/>
        <v>0</v>
      </c>
      <c r="T125" s="97">
        <f t="shared" si="113"/>
        <v>0</v>
      </c>
      <c r="U125" s="98">
        <f t="shared" si="114"/>
        <v>50605</v>
      </c>
      <c r="V125" s="99">
        <f t="shared" si="115"/>
        <v>0</v>
      </c>
      <c r="W125" s="99">
        <f t="shared" si="116"/>
        <v>0</v>
      </c>
      <c r="X125" s="99">
        <f t="shared" si="117"/>
        <v>4807</v>
      </c>
      <c r="Y125" s="96">
        <f t="shared" si="118"/>
        <v>860</v>
      </c>
      <c r="Z125" s="96">
        <f t="shared" si="119"/>
        <v>0</v>
      </c>
      <c r="AA125" s="96">
        <f t="shared" si="120"/>
        <v>2029</v>
      </c>
      <c r="AB125" s="96">
        <f t="shared" si="121"/>
        <v>0</v>
      </c>
      <c r="AC125" s="96">
        <f t="shared" si="122"/>
        <v>0</v>
      </c>
      <c r="AD125" s="96">
        <f t="shared" si="123"/>
        <v>0</v>
      </c>
      <c r="AE125" s="100">
        <f t="shared" si="124"/>
        <v>7696</v>
      </c>
      <c r="AF125" s="101">
        <f t="shared" si="125"/>
        <v>42909</v>
      </c>
      <c r="AG125" s="100">
        <f t="shared" si="126"/>
        <v>0</v>
      </c>
      <c r="AH125" s="96">
        <f t="shared" si="127"/>
        <v>0</v>
      </c>
    </row>
    <row r="126" spans="1:34" s="92" customFormat="1" ht="20.100000000000001" customHeight="1" x14ac:dyDescent="0.25">
      <c r="A126" s="94">
        <v>16</v>
      </c>
      <c r="B126" s="132" t="s">
        <v>320</v>
      </c>
      <c r="C126" s="94" t="str">
        <f t="shared" si="96"/>
        <v>Punonjes Mbeshtetes VI</v>
      </c>
      <c r="D126" s="95" t="str">
        <f t="shared" si="97"/>
        <v>VI</v>
      </c>
      <c r="E126" s="94">
        <f t="shared" si="98"/>
        <v>22</v>
      </c>
      <c r="F126" s="96">
        <f t="shared" si="99"/>
        <v>0</v>
      </c>
      <c r="G126" s="96">
        <f t="shared" si="100"/>
        <v>44000</v>
      </c>
      <c r="H126" s="96">
        <f t="shared" si="101"/>
        <v>0</v>
      </c>
      <c r="I126" s="96">
        <f t="shared" si="102"/>
        <v>7040</v>
      </c>
      <c r="J126" s="96">
        <f t="shared" si="103"/>
        <v>0</v>
      </c>
      <c r="K126" s="96">
        <f t="shared" si="104"/>
        <v>0</v>
      </c>
      <c r="L126" s="96">
        <f t="shared" si="105"/>
        <v>0</v>
      </c>
      <c r="M126" s="96">
        <f t="shared" si="106"/>
        <v>0</v>
      </c>
      <c r="N126" s="96">
        <f t="shared" si="107"/>
        <v>6</v>
      </c>
      <c r="O126" s="96">
        <f t="shared" si="108"/>
        <v>0</v>
      </c>
      <c r="P126" s="96">
        <f t="shared" si="109"/>
        <v>0</v>
      </c>
      <c r="Q126" s="96">
        <f t="shared" si="110"/>
        <v>0</v>
      </c>
      <c r="R126" s="96">
        <f t="shared" si="111"/>
        <v>0</v>
      </c>
      <c r="S126" s="96">
        <f t="shared" si="112"/>
        <v>0</v>
      </c>
      <c r="T126" s="97">
        <f t="shared" si="113"/>
        <v>0</v>
      </c>
      <c r="U126" s="98">
        <f t="shared" si="114"/>
        <v>51046</v>
      </c>
      <c r="V126" s="99">
        <f t="shared" si="115"/>
        <v>0</v>
      </c>
      <c r="W126" s="99">
        <f t="shared" si="116"/>
        <v>0</v>
      </c>
      <c r="X126" s="99">
        <f t="shared" si="117"/>
        <v>4849</v>
      </c>
      <c r="Y126" s="96">
        <f t="shared" si="118"/>
        <v>868</v>
      </c>
      <c r="Z126" s="96">
        <f t="shared" si="119"/>
        <v>0</v>
      </c>
      <c r="AA126" s="96">
        <f t="shared" si="120"/>
        <v>2086</v>
      </c>
      <c r="AB126" s="96">
        <f t="shared" si="121"/>
        <v>0</v>
      </c>
      <c r="AC126" s="96">
        <f t="shared" si="122"/>
        <v>0</v>
      </c>
      <c r="AD126" s="96">
        <f t="shared" si="123"/>
        <v>0</v>
      </c>
      <c r="AE126" s="100">
        <f t="shared" si="124"/>
        <v>7803</v>
      </c>
      <c r="AF126" s="101">
        <f t="shared" si="125"/>
        <v>43243</v>
      </c>
      <c r="AG126" s="100">
        <f t="shared" si="126"/>
        <v>0</v>
      </c>
      <c r="AH126" s="96">
        <f t="shared" si="127"/>
        <v>0</v>
      </c>
    </row>
    <row r="127" spans="1:34" s="92" customFormat="1" ht="20.100000000000001" customHeight="1" x14ac:dyDescent="0.25">
      <c r="A127" s="94">
        <v>17</v>
      </c>
      <c r="B127" s="132" t="s">
        <v>321</v>
      </c>
      <c r="C127" s="94" t="str">
        <f t="shared" si="96"/>
        <v>Punonjes Mbeshtetes VI</v>
      </c>
      <c r="D127" s="95" t="str">
        <f t="shared" si="97"/>
        <v>VI</v>
      </c>
      <c r="E127" s="94">
        <f t="shared" si="98"/>
        <v>22</v>
      </c>
      <c r="F127" s="96">
        <f t="shared" si="99"/>
        <v>0</v>
      </c>
      <c r="G127" s="96">
        <f t="shared" si="100"/>
        <v>44000</v>
      </c>
      <c r="H127" s="96">
        <f t="shared" si="101"/>
        <v>0</v>
      </c>
      <c r="I127" s="96">
        <f t="shared" si="102"/>
        <v>7480</v>
      </c>
      <c r="J127" s="96">
        <f t="shared" si="103"/>
        <v>0</v>
      </c>
      <c r="K127" s="96">
        <f t="shared" si="104"/>
        <v>0</v>
      </c>
      <c r="L127" s="96">
        <f t="shared" si="105"/>
        <v>0</v>
      </c>
      <c r="M127" s="96">
        <f t="shared" si="106"/>
        <v>0</v>
      </c>
      <c r="N127" s="96">
        <f t="shared" si="107"/>
        <v>7</v>
      </c>
      <c r="O127" s="96">
        <f t="shared" si="108"/>
        <v>0</v>
      </c>
      <c r="P127" s="96">
        <f t="shared" si="109"/>
        <v>0</v>
      </c>
      <c r="Q127" s="96">
        <f t="shared" si="110"/>
        <v>0</v>
      </c>
      <c r="R127" s="96">
        <f t="shared" si="111"/>
        <v>0</v>
      </c>
      <c r="S127" s="96">
        <f t="shared" si="112"/>
        <v>0</v>
      </c>
      <c r="T127" s="97">
        <f t="shared" si="113"/>
        <v>0</v>
      </c>
      <c r="U127" s="98">
        <f t="shared" si="114"/>
        <v>51487</v>
      </c>
      <c r="V127" s="99">
        <f t="shared" si="115"/>
        <v>0</v>
      </c>
      <c r="W127" s="99">
        <f t="shared" si="116"/>
        <v>0</v>
      </c>
      <c r="X127" s="99">
        <f t="shared" si="117"/>
        <v>4891</v>
      </c>
      <c r="Y127" s="96">
        <f t="shared" si="118"/>
        <v>875</v>
      </c>
      <c r="Z127" s="96">
        <f t="shared" si="119"/>
        <v>0</v>
      </c>
      <c r="AA127" s="96">
        <f t="shared" si="120"/>
        <v>2143</v>
      </c>
      <c r="AB127" s="96">
        <f t="shared" si="121"/>
        <v>0</v>
      </c>
      <c r="AC127" s="96">
        <f t="shared" si="122"/>
        <v>0</v>
      </c>
      <c r="AD127" s="96">
        <f t="shared" si="123"/>
        <v>0</v>
      </c>
      <c r="AE127" s="100">
        <f t="shared" si="124"/>
        <v>7909</v>
      </c>
      <c r="AF127" s="101">
        <f t="shared" si="125"/>
        <v>43578</v>
      </c>
      <c r="AG127" s="100">
        <f t="shared" si="126"/>
        <v>0</v>
      </c>
      <c r="AH127" s="96">
        <f t="shared" si="127"/>
        <v>0</v>
      </c>
    </row>
    <row r="128" spans="1:34" s="92" customFormat="1" ht="20.100000000000001" customHeight="1" x14ac:dyDescent="0.25">
      <c r="A128" s="94">
        <v>18</v>
      </c>
      <c r="B128" s="132" t="s">
        <v>322</v>
      </c>
      <c r="C128" s="94" t="str">
        <f t="shared" si="96"/>
        <v>Punonjes Mbeshtetes VI</v>
      </c>
      <c r="D128" s="95" t="str">
        <f t="shared" si="97"/>
        <v>VI</v>
      </c>
      <c r="E128" s="94">
        <f t="shared" si="98"/>
        <v>22</v>
      </c>
      <c r="F128" s="96">
        <f t="shared" si="99"/>
        <v>0</v>
      </c>
      <c r="G128" s="96">
        <f t="shared" si="100"/>
        <v>44000</v>
      </c>
      <c r="H128" s="96">
        <f t="shared" si="101"/>
        <v>0</v>
      </c>
      <c r="I128" s="96">
        <f t="shared" si="102"/>
        <v>7920</v>
      </c>
      <c r="J128" s="96">
        <f t="shared" si="103"/>
        <v>0</v>
      </c>
      <c r="K128" s="96">
        <f t="shared" si="104"/>
        <v>0</v>
      </c>
      <c r="L128" s="96">
        <f t="shared" si="105"/>
        <v>0</v>
      </c>
      <c r="M128" s="96">
        <f t="shared" si="106"/>
        <v>0</v>
      </c>
      <c r="N128" s="96">
        <f t="shared" si="107"/>
        <v>8</v>
      </c>
      <c r="O128" s="96">
        <f t="shared" si="108"/>
        <v>0</v>
      </c>
      <c r="P128" s="96">
        <f t="shared" si="109"/>
        <v>0</v>
      </c>
      <c r="Q128" s="96">
        <f t="shared" si="110"/>
        <v>0</v>
      </c>
      <c r="R128" s="96">
        <f t="shared" si="111"/>
        <v>0</v>
      </c>
      <c r="S128" s="96">
        <f t="shared" si="112"/>
        <v>0</v>
      </c>
      <c r="T128" s="97">
        <f t="shared" si="113"/>
        <v>0</v>
      </c>
      <c r="U128" s="98">
        <f t="shared" si="114"/>
        <v>51928</v>
      </c>
      <c r="V128" s="99">
        <f t="shared" si="115"/>
        <v>0</v>
      </c>
      <c r="W128" s="99">
        <f t="shared" si="116"/>
        <v>0</v>
      </c>
      <c r="X128" s="99">
        <f t="shared" si="117"/>
        <v>4933</v>
      </c>
      <c r="Y128" s="96">
        <f t="shared" si="118"/>
        <v>883</v>
      </c>
      <c r="Z128" s="96">
        <f t="shared" si="119"/>
        <v>0</v>
      </c>
      <c r="AA128" s="96">
        <f t="shared" si="120"/>
        <v>2201</v>
      </c>
      <c r="AB128" s="96">
        <f t="shared" si="121"/>
        <v>0</v>
      </c>
      <c r="AC128" s="96">
        <f t="shared" si="122"/>
        <v>0</v>
      </c>
      <c r="AD128" s="96">
        <f t="shared" si="123"/>
        <v>0</v>
      </c>
      <c r="AE128" s="100">
        <f t="shared" si="124"/>
        <v>8017</v>
      </c>
      <c r="AF128" s="101">
        <f t="shared" si="125"/>
        <v>43911</v>
      </c>
      <c r="AG128" s="100">
        <f t="shared" si="126"/>
        <v>0</v>
      </c>
      <c r="AH128" s="96">
        <f t="shared" si="127"/>
        <v>0</v>
      </c>
    </row>
    <row r="129" spans="1:34" s="92" customFormat="1" ht="20.100000000000001" customHeight="1" x14ac:dyDescent="0.25">
      <c r="A129" s="94">
        <v>19</v>
      </c>
      <c r="B129" s="132" t="s">
        <v>323</v>
      </c>
      <c r="C129" s="94" t="str">
        <f t="shared" si="96"/>
        <v>Punonjes Mbeshtetes VI</v>
      </c>
      <c r="D129" s="95" t="str">
        <f t="shared" si="97"/>
        <v>VI</v>
      </c>
      <c r="E129" s="94">
        <f t="shared" si="98"/>
        <v>22</v>
      </c>
      <c r="F129" s="96">
        <f t="shared" si="99"/>
        <v>0</v>
      </c>
      <c r="G129" s="96">
        <f t="shared" si="100"/>
        <v>44000</v>
      </c>
      <c r="H129" s="96">
        <f t="shared" si="101"/>
        <v>0</v>
      </c>
      <c r="I129" s="96">
        <f t="shared" si="102"/>
        <v>8360</v>
      </c>
      <c r="J129" s="96">
        <f t="shared" si="103"/>
        <v>0</v>
      </c>
      <c r="K129" s="96">
        <f t="shared" si="104"/>
        <v>0</v>
      </c>
      <c r="L129" s="96">
        <f t="shared" si="105"/>
        <v>0</v>
      </c>
      <c r="M129" s="96">
        <f t="shared" si="106"/>
        <v>0</v>
      </c>
      <c r="N129" s="96">
        <f t="shared" si="107"/>
        <v>9</v>
      </c>
      <c r="O129" s="96">
        <f t="shared" si="108"/>
        <v>0</v>
      </c>
      <c r="P129" s="96">
        <f t="shared" si="109"/>
        <v>0</v>
      </c>
      <c r="Q129" s="96">
        <f t="shared" si="110"/>
        <v>0</v>
      </c>
      <c r="R129" s="96">
        <f t="shared" si="111"/>
        <v>0</v>
      </c>
      <c r="S129" s="96">
        <f t="shared" si="112"/>
        <v>0</v>
      </c>
      <c r="T129" s="97">
        <f t="shared" si="113"/>
        <v>0</v>
      </c>
      <c r="U129" s="98">
        <f t="shared" si="114"/>
        <v>52369</v>
      </c>
      <c r="V129" s="99">
        <f t="shared" si="115"/>
        <v>0</v>
      </c>
      <c r="W129" s="99">
        <f t="shared" si="116"/>
        <v>0</v>
      </c>
      <c r="X129" s="99">
        <f t="shared" si="117"/>
        <v>4975</v>
      </c>
      <c r="Y129" s="96">
        <f t="shared" si="118"/>
        <v>890</v>
      </c>
      <c r="Z129" s="96">
        <f t="shared" si="119"/>
        <v>0</v>
      </c>
      <c r="AA129" s="96">
        <f t="shared" si="120"/>
        <v>2258</v>
      </c>
      <c r="AB129" s="96">
        <f t="shared" si="121"/>
        <v>0</v>
      </c>
      <c r="AC129" s="96">
        <f t="shared" si="122"/>
        <v>0</v>
      </c>
      <c r="AD129" s="96">
        <f t="shared" si="123"/>
        <v>0</v>
      </c>
      <c r="AE129" s="100">
        <f t="shared" si="124"/>
        <v>8123</v>
      </c>
      <c r="AF129" s="101">
        <f t="shared" si="125"/>
        <v>44246</v>
      </c>
      <c r="AG129" s="100">
        <f t="shared" si="126"/>
        <v>0</v>
      </c>
      <c r="AH129" s="96">
        <f t="shared" si="127"/>
        <v>0</v>
      </c>
    </row>
    <row r="130" spans="1:34" s="92" customFormat="1" ht="20.100000000000001" customHeight="1" thickBot="1" x14ac:dyDescent="0.3">
      <c r="A130" s="94">
        <v>20</v>
      </c>
      <c r="B130" s="132" t="s">
        <v>324</v>
      </c>
      <c r="C130" s="94" t="str">
        <f t="shared" si="96"/>
        <v>Punonjes Mbeshtetes VI</v>
      </c>
      <c r="D130" s="95" t="str">
        <f t="shared" si="97"/>
        <v>VI</v>
      </c>
      <c r="E130" s="94">
        <f t="shared" si="98"/>
        <v>22</v>
      </c>
      <c r="F130" s="96">
        <f t="shared" si="99"/>
        <v>0</v>
      </c>
      <c r="G130" s="96">
        <f t="shared" si="100"/>
        <v>44000</v>
      </c>
      <c r="H130" s="96">
        <f t="shared" si="101"/>
        <v>0</v>
      </c>
      <c r="I130" s="96">
        <f t="shared" si="102"/>
        <v>8800</v>
      </c>
      <c r="J130" s="96">
        <f t="shared" si="103"/>
        <v>0</v>
      </c>
      <c r="K130" s="96">
        <f t="shared" si="104"/>
        <v>0</v>
      </c>
      <c r="L130" s="96">
        <f t="shared" si="105"/>
        <v>0</v>
      </c>
      <c r="M130" s="96">
        <f t="shared" si="106"/>
        <v>0</v>
      </c>
      <c r="N130" s="96">
        <f t="shared" si="107"/>
        <v>10</v>
      </c>
      <c r="O130" s="96">
        <f t="shared" si="108"/>
        <v>0</v>
      </c>
      <c r="P130" s="96">
        <f t="shared" si="109"/>
        <v>0</v>
      </c>
      <c r="Q130" s="96">
        <f t="shared" si="110"/>
        <v>0</v>
      </c>
      <c r="R130" s="96">
        <f t="shared" si="111"/>
        <v>0</v>
      </c>
      <c r="S130" s="96">
        <f t="shared" si="112"/>
        <v>0</v>
      </c>
      <c r="T130" s="97">
        <f t="shared" si="113"/>
        <v>0</v>
      </c>
      <c r="U130" s="98">
        <f t="shared" si="114"/>
        <v>52810</v>
      </c>
      <c r="V130" s="99">
        <f t="shared" si="115"/>
        <v>0</v>
      </c>
      <c r="W130" s="99">
        <f t="shared" si="116"/>
        <v>0</v>
      </c>
      <c r="X130" s="99">
        <f t="shared" si="117"/>
        <v>5017</v>
      </c>
      <c r="Y130" s="96">
        <f t="shared" si="118"/>
        <v>898</v>
      </c>
      <c r="Z130" s="96">
        <f t="shared" si="119"/>
        <v>0</v>
      </c>
      <c r="AA130" s="96">
        <f t="shared" si="120"/>
        <v>2315</v>
      </c>
      <c r="AB130" s="96">
        <f t="shared" si="121"/>
        <v>0</v>
      </c>
      <c r="AC130" s="96">
        <f t="shared" si="122"/>
        <v>0</v>
      </c>
      <c r="AD130" s="96">
        <f t="shared" si="123"/>
        <v>0</v>
      </c>
      <c r="AE130" s="100">
        <f t="shared" si="124"/>
        <v>8230</v>
      </c>
      <c r="AF130" s="101">
        <f t="shared" si="125"/>
        <v>44580</v>
      </c>
      <c r="AG130" s="100">
        <f t="shared" si="126"/>
        <v>0</v>
      </c>
      <c r="AH130" s="96">
        <f t="shared" si="127"/>
        <v>0</v>
      </c>
    </row>
    <row r="131" spans="1:34" s="133" customFormat="1" ht="24" customHeight="1" thickBot="1" x14ac:dyDescent="0.3">
      <c r="A131" s="159"/>
      <c r="B131" s="276" t="s">
        <v>172</v>
      </c>
      <c r="C131" s="160"/>
      <c r="D131" s="160"/>
      <c r="E131" s="160"/>
      <c r="F131" s="160"/>
      <c r="G131" s="160"/>
      <c r="H131" s="160"/>
      <c r="I131" s="160"/>
      <c r="J131" s="160"/>
      <c r="K131" s="160"/>
      <c r="L131" s="160"/>
      <c r="M131" s="160"/>
      <c r="N131" s="160"/>
      <c r="O131" s="160"/>
      <c r="P131" s="160"/>
      <c r="Q131" s="160"/>
      <c r="R131" s="160"/>
      <c r="S131" s="160"/>
      <c r="T131" s="160"/>
      <c r="U131" s="175">
        <f>SUM(U111:U120)</f>
        <v>759800</v>
      </c>
      <c r="V131" s="160"/>
      <c r="W131" s="160"/>
      <c r="X131" s="160"/>
      <c r="Y131" s="160"/>
      <c r="Z131" s="160"/>
      <c r="AA131" s="160"/>
      <c r="AB131" s="160"/>
      <c r="AC131" s="160"/>
      <c r="AD131" s="160"/>
      <c r="AE131" s="160"/>
      <c r="AF131" s="175">
        <f>SUM(AF111:AF130)</f>
        <v>1051257</v>
      </c>
      <c r="AG131" s="160"/>
      <c r="AH131" s="160"/>
    </row>
    <row r="132" spans="1:34" s="133" customFormat="1" ht="32.1" customHeight="1" thickBot="1" x14ac:dyDescent="0.3">
      <c r="A132" s="136"/>
      <c r="B132" s="255" t="s">
        <v>173</v>
      </c>
      <c r="C132" s="134"/>
      <c r="D132" s="134"/>
      <c r="E132" s="134"/>
      <c r="F132" s="134"/>
      <c r="G132" s="134"/>
      <c r="H132" s="134"/>
      <c r="I132" s="134"/>
      <c r="J132" s="134"/>
      <c r="K132" s="134"/>
      <c r="L132" s="134"/>
      <c r="M132" s="134"/>
      <c r="N132" s="134"/>
      <c r="O132" s="134"/>
      <c r="P132" s="134"/>
      <c r="Q132" s="134"/>
      <c r="R132" s="134"/>
      <c r="S132" s="134"/>
      <c r="T132" s="134"/>
      <c r="U132" s="176">
        <f>U110+U131</f>
        <v>18816007</v>
      </c>
      <c r="V132" s="134"/>
      <c r="W132" s="134"/>
      <c r="X132" s="134"/>
      <c r="Y132" s="134"/>
      <c r="Z132" s="134"/>
      <c r="AA132" s="134"/>
      <c r="AB132" s="134"/>
      <c r="AC132" s="134"/>
      <c r="AD132" s="134"/>
      <c r="AE132" s="134"/>
      <c r="AF132" s="176">
        <f>AF110+AF131</f>
        <v>15142078</v>
      </c>
      <c r="AG132" s="134"/>
      <c r="AH132" s="134"/>
    </row>
    <row r="134" spans="1:34" x14ac:dyDescent="0.25">
      <c r="W134" s="124"/>
      <c r="X134" s="706" t="s">
        <v>157</v>
      </c>
      <c r="Y134" s="706"/>
      <c r="Z134" s="124"/>
      <c r="AA134" s="706" t="s">
        <v>158</v>
      </c>
      <c r="AB134" s="706"/>
      <c r="AC134" s="124"/>
    </row>
    <row r="135" spans="1:34" x14ac:dyDescent="0.25">
      <c r="W135" s="124"/>
      <c r="X135" s="705" t="s">
        <v>159</v>
      </c>
      <c r="Y135" s="705"/>
      <c r="Z135" s="124"/>
      <c r="AA135" s="705" t="s">
        <v>159</v>
      </c>
      <c r="AB135" s="705"/>
      <c r="AC135" s="124"/>
    </row>
    <row r="136" spans="1:34" x14ac:dyDescent="0.25">
      <c r="W136" s="124"/>
      <c r="X136" s="704" t="s">
        <v>160</v>
      </c>
      <c r="Y136" s="704"/>
      <c r="Z136" s="124"/>
      <c r="AA136" s="704" t="s">
        <v>160</v>
      </c>
      <c r="AB136" s="704"/>
      <c r="AC136" s="124"/>
    </row>
    <row r="137" spans="1:34" x14ac:dyDescent="0.25">
      <c r="W137" s="124"/>
      <c r="X137" s="125"/>
      <c r="Y137" s="125"/>
      <c r="Z137" s="124"/>
      <c r="AA137" s="125"/>
      <c r="AB137" s="125"/>
      <c r="AC137" s="124"/>
    </row>
    <row r="138" spans="1:34" x14ac:dyDescent="0.25">
      <c r="W138" s="704"/>
      <c r="X138" s="704"/>
      <c r="Y138" s="124"/>
      <c r="Z138" s="125" t="s">
        <v>161</v>
      </c>
      <c r="AA138" s="704"/>
      <c r="AB138" s="704"/>
      <c r="AC138" s="124"/>
    </row>
    <row r="139" spans="1:34" x14ac:dyDescent="0.25">
      <c r="W139" s="124"/>
      <c r="X139" s="124"/>
      <c r="Y139" s="124"/>
      <c r="Z139" s="124"/>
      <c r="AA139" s="124"/>
      <c r="AB139" s="124"/>
      <c r="AC139" s="124"/>
    </row>
  </sheetData>
  <mergeCells count="8">
    <mergeCell ref="AA136:AB136"/>
    <mergeCell ref="AA135:AB135"/>
    <mergeCell ref="AA134:AB134"/>
    <mergeCell ref="AA138:AB138"/>
    <mergeCell ref="W138:X138"/>
    <mergeCell ref="X134:Y134"/>
    <mergeCell ref="X135:Y135"/>
    <mergeCell ref="X136:Y136"/>
  </mergeCells>
  <phoneticPr fontId="71" type="noConversion"/>
  <pageMargins left="0.39370078740157483" right="0.39370078740157483" top="1.5748031496062993" bottom="0.78740157480314965" header="0.31496062992125984" footer="0.31496062992125984"/>
  <pageSetup paperSize="8" fitToHeight="0" orientation="landscape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B1:H135"/>
  <sheetViews>
    <sheetView showGridLines="0" workbookViewId="0">
      <selection activeCell="F10" sqref="F10"/>
    </sheetView>
  </sheetViews>
  <sheetFormatPr defaultRowHeight="15.75" x14ac:dyDescent="0.25"/>
  <cols>
    <col min="1" max="1" width="9.140625" style="177"/>
    <col min="2" max="2" width="32.7109375" style="178" customWidth="1"/>
    <col min="3" max="3" width="26.85546875" style="179" customWidth="1"/>
    <col min="4" max="4" width="24.7109375" style="178" customWidth="1"/>
    <col min="5" max="5" width="36.140625" style="178" customWidth="1"/>
    <col min="6" max="6" width="24.7109375" style="178" customWidth="1"/>
    <col min="7" max="7" width="2.7109375" style="178" customWidth="1"/>
    <col min="8" max="8" width="12.7109375" style="178" customWidth="1"/>
    <col min="9" max="23" width="9" style="177" customWidth="1"/>
    <col min="24" max="16384" width="9.140625" style="177"/>
  </cols>
  <sheetData>
    <row r="1" spans="2:8" ht="24" thickBot="1" x14ac:dyDescent="0.4">
      <c r="B1" s="314" t="s">
        <v>289</v>
      </c>
      <c r="C1" s="315"/>
      <c r="D1" s="316"/>
      <c r="E1" s="316"/>
      <c r="F1" s="316"/>
    </row>
    <row r="3" spans="2:8" x14ac:dyDescent="0.25">
      <c r="B3" s="179"/>
      <c r="D3" s="179"/>
      <c r="E3" s="179"/>
      <c r="F3" s="179"/>
    </row>
    <row r="4" spans="2:8" ht="18.75" x14ac:dyDescent="0.3">
      <c r="B4" s="180"/>
      <c r="C4" s="180"/>
      <c r="D4" s="180"/>
      <c r="E4" s="180"/>
      <c r="F4" s="180"/>
    </row>
    <row r="5" spans="2:8" x14ac:dyDescent="0.25">
      <c r="B5" s="181"/>
      <c r="C5" s="182"/>
      <c r="D5" s="181"/>
      <c r="E5" s="181"/>
      <c r="F5" s="181"/>
    </row>
    <row r="6" spans="2:8" ht="16.5" thickBot="1" x14ac:dyDescent="0.3">
      <c r="B6" s="181"/>
      <c r="C6" s="182"/>
      <c r="D6" s="181"/>
      <c r="E6" s="181"/>
      <c r="F6" s="181"/>
    </row>
    <row r="7" spans="2:8" ht="32.25" thickBot="1" x14ac:dyDescent="0.3">
      <c r="B7" s="264" t="s">
        <v>0</v>
      </c>
      <c r="C7" s="265" t="s">
        <v>288</v>
      </c>
      <c r="D7" s="265" t="s">
        <v>79</v>
      </c>
      <c r="E7" s="265" t="s">
        <v>80</v>
      </c>
      <c r="F7" s="265" t="s">
        <v>175</v>
      </c>
    </row>
    <row r="8" spans="2:8" thickBot="1" x14ac:dyDescent="0.3">
      <c r="B8" s="186"/>
      <c r="C8" s="187"/>
      <c r="D8" s="188"/>
      <c r="E8" s="188"/>
      <c r="F8" s="189"/>
      <c r="G8" s="183"/>
      <c r="H8" s="183"/>
    </row>
    <row r="9" spans="2:8" ht="15" x14ac:dyDescent="0.25">
      <c r="B9" s="190"/>
      <c r="C9" s="11"/>
      <c r="D9" s="191"/>
      <c r="E9" s="11"/>
      <c r="F9" s="192"/>
      <c r="G9" s="183"/>
      <c r="H9" s="183"/>
    </row>
    <row r="10" spans="2:8" ht="15" x14ac:dyDescent="0.25">
      <c r="B10" s="193" t="str">
        <f>'Liste Pagesa'!B10</f>
        <v>Emer_Mbimer_01</v>
      </c>
      <c r="C10" s="194" t="s">
        <v>286</v>
      </c>
      <c r="D10" s="260">
        <f>VLOOKUP('Liste Pagesa'!$B10,llog_organike,2,FALSE)</f>
        <v>932494646</v>
      </c>
      <c r="E10" s="195" t="str">
        <f>VLOOKUP('Liste Pagesa'!$B10,llog_organike,3,FALSE)</f>
        <v>BANKA AMERIKANE E INVESTIMEVE sh.a.</v>
      </c>
      <c r="F10" s="305">
        <f>VLOOKUP('Liste Pagesa'!$B10,llog_organike,48,FALSE)</f>
        <v>310815</v>
      </c>
      <c r="G10" s="184"/>
      <c r="H10" s="184"/>
    </row>
    <row r="11" spans="2:8" ht="15" x14ac:dyDescent="0.25">
      <c r="B11" s="193" t="str">
        <f>'Liste Pagesa'!B11</f>
        <v>Emer_Mbimer_02</v>
      </c>
      <c r="C11" s="194" t="s">
        <v>286</v>
      </c>
      <c r="D11" s="260">
        <f>VLOOKUP('Liste Pagesa'!$B11,llog_organike,2,FALSE)</f>
        <v>559472363</v>
      </c>
      <c r="E11" s="195" t="str">
        <f>VLOOKUP('Liste Pagesa'!$B11,llog_organike,3,FALSE)</f>
        <v>BANKA CREDINS sh.a.</v>
      </c>
      <c r="F11" s="305">
        <f>VLOOKUP('Liste Pagesa'!$B11,llog_organike,48,FALSE)</f>
        <v>288088</v>
      </c>
      <c r="G11" s="184"/>
      <c r="H11" s="184"/>
    </row>
    <row r="12" spans="2:8" ht="15" x14ac:dyDescent="0.25">
      <c r="B12" s="193" t="str">
        <f>'Liste Pagesa'!B12</f>
        <v>Emer_Mbimer_03</v>
      </c>
      <c r="C12" s="194" t="s">
        <v>286</v>
      </c>
      <c r="D12" s="260">
        <f>VLOOKUP('Liste Pagesa'!$B12,llog_organike,2,FALSE)</f>
        <v>646606724</v>
      </c>
      <c r="E12" s="195" t="str">
        <f>VLOOKUP('Liste Pagesa'!$B12,llog_organike,3,FALSE)</f>
        <v>BANKA E BASHKUAR E SHQIPËRISË sh.a.</v>
      </c>
      <c r="F12" s="305">
        <f>VLOOKUP('Liste Pagesa'!$B12,llog_organike,48,FALSE)</f>
        <v>288088</v>
      </c>
      <c r="G12" s="184"/>
      <c r="H12" s="184"/>
    </row>
    <row r="13" spans="2:8" ht="15" x14ac:dyDescent="0.25">
      <c r="B13" s="193" t="str">
        <f>'Liste Pagesa'!B13</f>
        <v>Emer_Mbimer_04</v>
      </c>
      <c r="C13" s="194" t="s">
        <v>286</v>
      </c>
      <c r="D13" s="260">
        <f>VLOOKUP('Liste Pagesa'!$B13,llog_organike,2,FALSE)</f>
        <v>735646534</v>
      </c>
      <c r="E13" s="195" t="str">
        <f>VLOOKUP('Liste Pagesa'!$B13,llog_organike,3,FALSE)</f>
        <v>BANKA E PARË E INVESTIMEVE ALBANIA sh.a.</v>
      </c>
      <c r="F13" s="305">
        <f>VLOOKUP('Liste Pagesa'!$B13,llog_organike,48,FALSE)</f>
        <v>242635</v>
      </c>
      <c r="G13" s="184"/>
      <c r="H13" s="184"/>
    </row>
    <row r="14" spans="2:8" ht="15" x14ac:dyDescent="0.25">
      <c r="B14" s="193" t="str">
        <f>'Liste Pagesa'!B14</f>
        <v>Emer_Mbimer_05</v>
      </c>
      <c r="C14" s="194" t="s">
        <v>286</v>
      </c>
      <c r="D14" s="260">
        <f>VLOOKUP('Liste Pagesa'!$B14,llog_organike,2,FALSE)</f>
        <v>614381046</v>
      </c>
      <c r="E14" s="195" t="str">
        <f>VLOOKUP('Liste Pagesa'!$B14,llog_organike,3,FALSE)</f>
        <v>BANKA INTESA SANPAOLO ALBANIA sh.a.</v>
      </c>
      <c r="F14" s="305">
        <f>VLOOKUP('Liste Pagesa'!$B14,llog_organike,48,FALSE)</f>
        <v>242635</v>
      </c>
      <c r="G14" s="184"/>
      <c r="H14" s="184"/>
    </row>
    <row r="15" spans="2:8" ht="15" x14ac:dyDescent="0.25">
      <c r="B15" s="193" t="str">
        <f>'Liste Pagesa'!B15</f>
        <v>Emer_Mbimer_06</v>
      </c>
      <c r="C15" s="194" t="s">
        <v>286</v>
      </c>
      <c r="D15" s="260">
        <f>VLOOKUP('Liste Pagesa'!$B15,llog_organike,2,FALSE)</f>
        <v>159858847</v>
      </c>
      <c r="E15" s="195" t="str">
        <f>VLOOKUP('Liste Pagesa'!$B15,llog_organike,3,FALSE)</f>
        <v>BANKA KOMBËTARE TREGTARE sh.a.</v>
      </c>
      <c r="F15" s="305">
        <f>VLOOKUP('Liste Pagesa'!$B15,llog_organike,48,FALSE)</f>
        <v>235058</v>
      </c>
      <c r="G15" s="184"/>
      <c r="H15" s="184"/>
    </row>
    <row r="16" spans="2:8" ht="15" x14ac:dyDescent="0.25">
      <c r="B16" s="193" t="str">
        <f>'Liste Pagesa'!B16</f>
        <v>Emer_Mbimer_07</v>
      </c>
      <c r="C16" s="194" t="s">
        <v>286</v>
      </c>
      <c r="D16" s="260">
        <f>VLOOKUP('Liste Pagesa'!$B16,llog_organike,2,FALSE)</f>
        <v>914930417</v>
      </c>
      <c r="E16" s="195" t="str">
        <f>VLOOKUP('Liste Pagesa'!$B16,llog_organike,3,FALSE)</f>
        <v>BANKA OTP ALBANIA sh.a.</v>
      </c>
      <c r="F16" s="305">
        <f>VLOOKUP('Liste Pagesa'!$B16,llog_organike,48,FALSE)</f>
        <v>232100</v>
      </c>
      <c r="G16" s="184"/>
      <c r="H16" s="184"/>
    </row>
    <row r="17" spans="2:8" ht="15" x14ac:dyDescent="0.25">
      <c r="B17" s="193" t="str">
        <f>'Liste Pagesa'!B17</f>
        <v>Emer_Mbimer_08</v>
      </c>
      <c r="C17" s="194" t="s">
        <v>286</v>
      </c>
      <c r="D17" s="260">
        <f>VLOOKUP('Liste Pagesa'!$B17,llog_organike,2,FALSE)</f>
        <v>678585650</v>
      </c>
      <c r="E17" s="195" t="str">
        <f>VLOOKUP('Liste Pagesa'!$B17,llog_organike,3,FALSE)</f>
        <v>BANKA PROCREDIT sh.a.</v>
      </c>
      <c r="F17" s="305">
        <f>VLOOKUP('Liste Pagesa'!$B17,llog_organike,48,FALSE)</f>
        <v>222882</v>
      </c>
      <c r="G17" s="184"/>
      <c r="H17" s="184"/>
    </row>
    <row r="18" spans="2:8" ht="15" x14ac:dyDescent="0.25">
      <c r="B18" s="193" t="str">
        <f>'Liste Pagesa'!B18</f>
        <v>Emer_Mbimer_09</v>
      </c>
      <c r="C18" s="194" t="s">
        <v>286</v>
      </c>
      <c r="D18" s="260">
        <f>VLOOKUP('Liste Pagesa'!$B18,llog_organike,2,FALSE)</f>
        <v>281383557</v>
      </c>
      <c r="E18" s="195" t="str">
        <f>VLOOKUP('Liste Pagesa'!$B18,llog_organike,3,FALSE)</f>
        <v>BANKA RAIFFEISEN sh.a.</v>
      </c>
      <c r="F18" s="305">
        <f>VLOOKUP('Liste Pagesa'!$B18,llog_organike,48,FALSE)</f>
        <v>192155</v>
      </c>
      <c r="G18" s="184"/>
      <c r="H18" s="184"/>
    </row>
    <row r="19" spans="2:8" ht="15" x14ac:dyDescent="0.25">
      <c r="B19" s="193" t="str">
        <f>'Liste Pagesa'!B19</f>
        <v>Emer_Mbimer_10</v>
      </c>
      <c r="C19" s="194" t="s">
        <v>286</v>
      </c>
      <c r="D19" s="260">
        <f>VLOOKUP('Liste Pagesa'!$B19,llog_organike,2,FALSE)</f>
        <v>319363179</v>
      </c>
      <c r="E19" s="195" t="str">
        <f>VLOOKUP('Liste Pagesa'!$B19,llog_organike,3,FALSE)</f>
        <v>BANKA TIRANA sh.a.</v>
      </c>
      <c r="F19" s="305">
        <f>VLOOKUP('Liste Pagesa'!$B19,llog_organike,48,FALSE)</f>
        <v>192155</v>
      </c>
      <c r="G19" s="184"/>
      <c r="H19" s="184"/>
    </row>
    <row r="20" spans="2:8" ht="15" x14ac:dyDescent="0.25">
      <c r="B20" s="193" t="str">
        <f>'Liste Pagesa'!B20</f>
        <v>Emer_Mbimer_11</v>
      </c>
      <c r="C20" s="194" t="s">
        <v>286</v>
      </c>
      <c r="D20" s="260">
        <f>VLOOKUP('Liste Pagesa'!$B20,llog_organike,2,FALSE)</f>
        <v>291601546</v>
      </c>
      <c r="E20" s="195" t="str">
        <f>VLOOKUP('Liste Pagesa'!$B20,llog_organike,3,FALSE)</f>
        <v>BANKA UNION sh.a.</v>
      </c>
      <c r="F20" s="305">
        <f>VLOOKUP('Liste Pagesa'!$B20,llog_organike,48,FALSE)</f>
        <v>199805</v>
      </c>
      <c r="G20" s="184"/>
      <c r="H20" s="184"/>
    </row>
    <row r="21" spans="2:8" ht="15" x14ac:dyDescent="0.25">
      <c r="B21" s="193" t="str">
        <f>'Liste Pagesa'!B21</f>
        <v>Emer_Mbimer_12</v>
      </c>
      <c r="C21" s="194" t="s">
        <v>286</v>
      </c>
      <c r="D21" s="260">
        <f>VLOOKUP('Liste Pagesa'!$B21,llog_organike,2,FALSE)</f>
        <v>622310084</v>
      </c>
      <c r="E21" s="195" t="str">
        <f>VLOOKUP('Liste Pagesa'!$B21,llog_organike,3,FALSE)</f>
        <v>BANKA AMERIKANE E INVESTIMEVE sh.a.</v>
      </c>
      <c r="F21" s="305">
        <f>VLOOKUP('Liste Pagesa'!$B21,llog_organike,48,FALSE)</f>
        <v>199805</v>
      </c>
      <c r="G21" s="184"/>
      <c r="H21" s="184"/>
    </row>
    <row r="22" spans="2:8" ht="15" x14ac:dyDescent="0.25">
      <c r="B22" s="193" t="str">
        <f>'Liste Pagesa'!B22</f>
        <v>Emer_Mbimer_13</v>
      </c>
      <c r="C22" s="194" t="s">
        <v>286</v>
      </c>
      <c r="D22" s="260">
        <f>VLOOKUP('Liste Pagesa'!$B22,llog_organike,2,FALSE)</f>
        <v>140438626</v>
      </c>
      <c r="E22" s="195" t="str">
        <f>VLOOKUP('Liste Pagesa'!$B22,llog_organike,3,FALSE)</f>
        <v>BANKA CREDINS sh.a.</v>
      </c>
      <c r="F22" s="305">
        <f>VLOOKUP('Liste Pagesa'!$B22,llog_organike,48,FALSE)</f>
        <v>199805</v>
      </c>
      <c r="G22" s="184"/>
      <c r="H22" s="184"/>
    </row>
    <row r="23" spans="2:8" ht="15" x14ac:dyDescent="0.25">
      <c r="B23" s="193" t="str">
        <f>'Liste Pagesa'!B23</f>
        <v>Emer_Mbimer_14</v>
      </c>
      <c r="C23" s="194" t="s">
        <v>286</v>
      </c>
      <c r="D23" s="260">
        <f>VLOOKUP('Liste Pagesa'!$B23,llog_organike,2,FALSE)</f>
        <v>658110914</v>
      </c>
      <c r="E23" s="195" t="str">
        <f>VLOOKUP('Liste Pagesa'!$B23,llog_organike,3,FALSE)</f>
        <v>BANKA E BASHKUAR E SHQIPËRISË sh.a.</v>
      </c>
      <c r="F23" s="305">
        <f>VLOOKUP('Liste Pagesa'!$B23,llog_organike,48,FALSE)</f>
        <v>199805</v>
      </c>
      <c r="G23" s="184"/>
      <c r="H23" s="184"/>
    </row>
    <row r="24" spans="2:8" ht="15" x14ac:dyDescent="0.25">
      <c r="B24" s="193" t="str">
        <f>'Liste Pagesa'!B24</f>
        <v>Emer_Mbimer_15</v>
      </c>
      <c r="C24" s="194" t="s">
        <v>286</v>
      </c>
      <c r="D24" s="260">
        <f>VLOOKUP('Liste Pagesa'!$B24,llog_organike,2,FALSE)</f>
        <v>248855190</v>
      </c>
      <c r="E24" s="195" t="str">
        <f>VLOOKUP('Liste Pagesa'!$B24,llog_organike,3,FALSE)</f>
        <v>BANKA E PARË E INVESTIMEVE ALBANIA sh.a.</v>
      </c>
      <c r="F24" s="305">
        <f>VLOOKUP('Liste Pagesa'!$B24,llog_organike,48,FALSE)</f>
        <v>199805</v>
      </c>
      <c r="G24" s="184"/>
      <c r="H24" s="184"/>
    </row>
    <row r="25" spans="2:8" ht="15" x14ac:dyDescent="0.25">
      <c r="B25" s="193" t="str">
        <f>'Liste Pagesa'!B25</f>
        <v>Emer_Mbimer_16</v>
      </c>
      <c r="C25" s="194" t="s">
        <v>286</v>
      </c>
      <c r="D25" s="260">
        <f>VLOOKUP('Liste Pagesa'!$B25,llog_organike,2,FALSE)</f>
        <v>881113478</v>
      </c>
      <c r="E25" s="195" t="str">
        <f>VLOOKUP('Liste Pagesa'!$B25,llog_organike,3,FALSE)</f>
        <v>BANKA INTESA SANPAOLO ALBANIA sh.a.</v>
      </c>
      <c r="F25" s="305">
        <f>VLOOKUP('Liste Pagesa'!$B25,llog_organike,48,FALSE)</f>
        <v>199805</v>
      </c>
      <c r="G25" s="184"/>
      <c r="H25" s="184"/>
    </row>
    <row r="26" spans="2:8" ht="15" x14ac:dyDescent="0.25">
      <c r="B26" s="193" t="str">
        <f>'Liste Pagesa'!B26</f>
        <v>Emer_Mbimer_17</v>
      </c>
      <c r="C26" s="194" t="s">
        <v>286</v>
      </c>
      <c r="D26" s="260">
        <f>VLOOKUP('Liste Pagesa'!$B26,llog_organike,2,FALSE)</f>
        <v>221448664</v>
      </c>
      <c r="E26" s="195" t="str">
        <f>VLOOKUP('Liste Pagesa'!$B26,llog_organike,3,FALSE)</f>
        <v>BANKA KOMBËTARE TREGTARE sh.a.</v>
      </c>
      <c r="F26" s="305">
        <f>VLOOKUP('Liste Pagesa'!$B26,llog_organike,48,FALSE)</f>
        <v>199805</v>
      </c>
      <c r="G26" s="184"/>
      <c r="H26" s="184"/>
    </row>
    <row r="27" spans="2:8" ht="15" x14ac:dyDescent="0.25">
      <c r="B27" s="193" t="str">
        <f>'Liste Pagesa'!B27</f>
        <v>Emer_Mbimer_18</v>
      </c>
      <c r="C27" s="194" t="s">
        <v>286</v>
      </c>
      <c r="D27" s="260">
        <f>VLOOKUP('Liste Pagesa'!$B27,llog_organike,2,FALSE)</f>
        <v>950169649</v>
      </c>
      <c r="E27" s="195" t="str">
        <f>VLOOKUP('Liste Pagesa'!$B27,llog_organike,3,FALSE)</f>
        <v>BANKA OTP ALBANIA sh.a.</v>
      </c>
      <c r="F27" s="305">
        <f>VLOOKUP('Liste Pagesa'!$B27,llog_organike,48,FALSE)</f>
        <v>150276</v>
      </c>
      <c r="G27" s="184"/>
      <c r="H27" s="184"/>
    </row>
    <row r="28" spans="2:8" ht="15" x14ac:dyDescent="0.25">
      <c r="B28" s="193" t="str">
        <f>'Liste Pagesa'!B28</f>
        <v>Emer_Mbimer_19</v>
      </c>
      <c r="C28" s="194" t="s">
        <v>286</v>
      </c>
      <c r="D28" s="260">
        <f>VLOOKUP('Liste Pagesa'!$B28,llog_organike,2,FALSE)</f>
        <v>974363789</v>
      </c>
      <c r="E28" s="195" t="str">
        <f>VLOOKUP('Liste Pagesa'!$B28,llog_organike,3,FALSE)</f>
        <v>BANKA PROCREDIT sh.a.</v>
      </c>
      <c r="F28" s="305">
        <f>VLOOKUP('Liste Pagesa'!$B28,llog_organike,48,FALSE)</f>
        <v>150276</v>
      </c>
      <c r="G28" s="184"/>
      <c r="H28" s="184"/>
    </row>
    <row r="29" spans="2:8" ht="15" x14ac:dyDescent="0.25">
      <c r="B29" s="193" t="str">
        <f>'Liste Pagesa'!B29</f>
        <v>Emer_Mbimer_20</v>
      </c>
      <c r="C29" s="194" t="s">
        <v>286</v>
      </c>
      <c r="D29" s="260">
        <f>VLOOKUP('Liste Pagesa'!$B29,llog_organike,2,FALSE)</f>
        <v>223902314</v>
      </c>
      <c r="E29" s="195" t="str">
        <f>VLOOKUP('Liste Pagesa'!$B29,llog_organike,3,FALSE)</f>
        <v>BANKA RAIFFEISEN sh.a.</v>
      </c>
      <c r="F29" s="305">
        <f>VLOOKUP('Liste Pagesa'!$B29,llog_organike,48,FALSE)</f>
        <v>150276</v>
      </c>
      <c r="G29" s="184"/>
      <c r="H29" s="184"/>
    </row>
    <row r="30" spans="2:8" ht="15" x14ac:dyDescent="0.25">
      <c r="B30" s="193" t="str">
        <f>'Liste Pagesa'!B30</f>
        <v>Emer_Mbimer_21</v>
      </c>
      <c r="C30" s="194" t="s">
        <v>286</v>
      </c>
      <c r="D30" s="260">
        <f>VLOOKUP('Liste Pagesa'!$B30,llog_organike,2,FALSE)</f>
        <v>455834907</v>
      </c>
      <c r="E30" s="195" t="str">
        <f>VLOOKUP('Liste Pagesa'!$B30,llog_organike,3,FALSE)</f>
        <v>BANKA TIRANA sh.a.</v>
      </c>
      <c r="F30" s="305">
        <f>VLOOKUP('Liste Pagesa'!$B30,llog_organike,48,FALSE)</f>
        <v>150276</v>
      </c>
      <c r="G30" s="184"/>
      <c r="H30" s="184"/>
    </row>
    <row r="31" spans="2:8" ht="15" x14ac:dyDescent="0.25">
      <c r="B31" s="193" t="str">
        <f>'Liste Pagesa'!B31</f>
        <v>Emer_Mbimer_22</v>
      </c>
      <c r="C31" s="194" t="s">
        <v>286</v>
      </c>
      <c r="D31" s="260">
        <f>VLOOKUP('Liste Pagesa'!$B31,llog_organike,2,FALSE)</f>
        <v>236813100</v>
      </c>
      <c r="E31" s="195" t="str">
        <f>VLOOKUP('Liste Pagesa'!$B31,llog_organike,3,FALSE)</f>
        <v>BANKA UNION sh.a.</v>
      </c>
      <c r="F31" s="305">
        <f>VLOOKUP('Liste Pagesa'!$B31,llog_organike,48,FALSE)</f>
        <v>150276</v>
      </c>
      <c r="G31" s="184"/>
      <c r="H31" s="184"/>
    </row>
    <row r="32" spans="2:8" ht="15" x14ac:dyDescent="0.25">
      <c r="B32" s="193" t="str">
        <f>'Liste Pagesa'!B32</f>
        <v>Emer_Mbimer_23</v>
      </c>
      <c r="C32" s="194" t="s">
        <v>286</v>
      </c>
      <c r="D32" s="260">
        <f>VLOOKUP('Liste Pagesa'!$B32,llog_organike,2,FALSE)</f>
        <v>540100723</v>
      </c>
      <c r="E32" s="195" t="str">
        <f>VLOOKUP('Liste Pagesa'!$B32,llog_organike,3,FALSE)</f>
        <v>BANKA AMERIKANE E INVESTIMEVE sh.a.</v>
      </c>
      <c r="F32" s="305">
        <f>VLOOKUP('Liste Pagesa'!$B32,llog_organike,48,FALSE)</f>
        <v>196349</v>
      </c>
      <c r="G32" s="184"/>
      <c r="H32" s="184"/>
    </row>
    <row r="33" spans="2:8" ht="15" x14ac:dyDescent="0.25">
      <c r="B33" s="193" t="str">
        <f>'Liste Pagesa'!B33</f>
        <v>Emer_Mbimer_24</v>
      </c>
      <c r="C33" s="194" t="s">
        <v>286</v>
      </c>
      <c r="D33" s="260">
        <f>VLOOKUP('Liste Pagesa'!$B33,llog_organike,2,FALSE)</f>
        <v>575821346</v>
      </c>
      <c r="E33" s="195" t="str">
        <f>VLOOKUP('Liste Pagesa'!$B33,llog_organike,3,FALSE)</f>
        <v>BANKA CREDINS sh.a.</v>
      </c>
      <c r="F33" s="305">
        <f>VLOOKUP('Liste Pagesa'!$B33,llog_organike,48,FALSE)</f>
        <v>183694</v>
      </c>
      <c r="G33" s="184"/>
      <c r="H33" s="184"/>
    </row>
    <row r="34" spans="2:8" ht="15" x14ac:dyDescent="0.25">
      <c r="B34" s="193" t="str">
        <f>'Liste Pagesa'!B34</f>
        <v>Emer_Mbimer_25</v>
      </c>
      <c r="C34" s="194" t="s">
        <v>286</v>
      </c>
      <c r="D34" s="260">
        <f>VLOOKUP('Liste Pagesa'!$B34,llog_organike,2,FALSE)</f>
        <v>483493370</v>
      </c>
      <c r="E34" s="195" t="str">
        <f>VLOOKUP('Liste Pagesa'!$B34,llog_organike,3,FALSE)</f>
        <v>BANKA E BASHKUAR E SHQIPËRISË sh.a.</v>
      </c>
      <c r="F34" s="305">
        <f>VLOOKUP('Liste Pagesa'!$B34,llog_organike,48,FALSE)</f>
        <v>175475</v>
      </c>
      <c r="G34" s="184"/>
      <c r="H34" s="184"/>
    </row>
    <row r="35" spans="2:8" ht="15" x14ac:dyDescent="0.25">
      <c r="B35" s="193" t="str">
        <f>'Liste Pagesa'!B35</f>
        <v>Emer_Mbimer_26</v>
      </c>
      <c r="C35" s="194" t="s">
        <v>286</v>
      </c>
      <c r="D35" s="260">
        <f>VLOOKUP('Liste Pagesa'!$B35,llog_organike,2,FALSE)</f>
        <v>591394036</v>
      </c>
      <c r="E35" s="195" t="str">
        <f>VLOOKUP('Liste Pagesa'!$B35,llog_organike,3,FALSE)</f>
        <v>BANKA E PARË E INVESTIMEVE ALBANIA sh.a.</v>
      </c>
      <c r="F35" s="305">
        <f>VLOOKUP('Liste Pagesa'!$B35,llog_organike,48,FALSE)</f>
        <v>156307</v>
      </c>
      <c r="G35" s="184"/>
      <c r="H35" s="184"/>
    </row>
    <row r="36" spans="2:8" ht="15" x14ac:dyDescent="0.25">
      <c r="B36" s="193" t="str">
        <f>'Liste Pagesa'!B36</f>
        <v>Emer_Mbimer_27</v>
      </c>
      <c r="C36" s="194" t="s">
        <v>286</v>
      </c>
      <c r="D36" s="260">
        <f>VLOOKUP('Liste Pagesa'!$B36,llog_organike,2,FALSE)</f>
        <v>514579181</v>
      </c>
      <c r="E36" s="195" t="str">
        <f>VLOOKUP('Liste Pagesa'!$B36,llog_organike,3,FALSE)</f>
        <v>BANKA INTESA SANPAOLO ALBANIA sh.a.</v>
      </c>
      <c r="F36" s="305">
        <f>VLOOKUP('Liste Pagesa'!$B36,llog_organike,48,FALSE)</f>
        <v>148442</v>
      </c>
      <c r="G36" s="184"/>
      <c r="H36" s="184"/>
    </row>
    <row r="37" spans="2:8" ht="15" x14ac:dyDescent="0.25">
      <c r="B37" s="193" t="str">
        <f>'Liste Pagesa'!B37</f>
        <v>Emer_Mbimer_28</v>
      </c>
      <c r="C37" s="194" t="s">
        <v>286</v>
      </c>
      <c r="D37" s="260">
        <f>VLOOKUP('Liste Pagesa'!$B37,llog_organike,2,FALSE)</f>
        <v>100596098</v>
      </c>
      <c r="E37" s="195" t="str">
        <f>VLOOKUP('Liste Pagesa'!$B37,llog_organike,3,FALSE)</f>
        <v>BANKA KOMBËTARE TREGTARE sh.a.</v>
      </c>
      <c r="F37" s="305">
        <f>VLOOKUP('Liste Pagesa'!$B37,llog_organike,48,FALSE)</f>
        <v>136232</v>
      </c>
      <c r="G37" s="184"/>
      <c r="H37" s="184"/>
    </row>
    <row r="38" spans="2:8" ht="15" x14ac:dyDescent="0.25">
      <c r="B38" s="193" t="str">
        <f>'Liste Pagesa'!B38</f>
        <v>Emer_Mbimer_29</v>
      </c>
      <c r="C38" s="194" t="s">
        <v>286</v>
      </c>
      <c r="D38" s="260">
        <f>VLOOKUP('Liste Pagesa'!$B38,llog_organike,2,FALSE)</f>
        <v>785751191</v>
      </c>
      <c r="E38" s="195" t="str">
        <f>VLOOKUP('Liste Pagesa'!$B38,llog_organike,3,FALSE)</f>
        <v>BANKA E PARË E INVESTIMEVE ALBANIA sh.a.</v>
      </c>
      <c r="F38" s="305">
        <f>VLOOKUP('Liste Pagesa'!$B38,llog_organike,48,FALSE)</f>
        <v>125878</v>
      </c>
      <c r="G38" s="184"/>
      <c r="H38" s="184"/>
    </row>
    <row r="39" spans="2:8" ht="15" x14ac:dyDescent="0.25">
      <c r="B39" s="193" t="str">
        <f>'Liste Pagesa'!B39</f>
        <v>Emer_Mbimer_30</v>
      </c>
      <c r="C39" s="194" t="s">
        <v>286</v>
      </c>
      <c r="D39" s="260">
        <f>VLOOKUP('Liste Pagesa'!$B39,llog_organike,2,FALSE)</f>
        <v>361190124</v>
      </c>
      <c r="E39" s="195" t="str">
        <f>VLOOKUP('Liste Pagesa'!$B39,llog_organike,3,FALSE)</f>
        <v>BANKA INTESA SANPAOLO ALBANIA sh.a.</v>
      </c>
      <c r="F39" s="305">
        <f>VLOOKUP('Liste Pagesa'!$B39,llog_organike,48,FALSE)</f>
        <v>105866</v>
      </c>
      <c r="G39" s="184"/>
      <c r="H39" s="184"/>
    </row>
    <row r="40" spans="2:8" ht="15" x14ac:dyDescent="0.25">
      <c r="B40" s="193" t="str">
        <f>'Liste Pagesa'!B40</f>
        <v>Emer_Mbimer_31</v>
      </c>
      <c r="C40" s="194" t="s">
        <v>286</v>
      </c>
      <c r="D40" s="260">
        <f>VLOOKUP('Liste Pagesa'!$B40,llog_organike,2,FALSE)</f>
        <v>530558872</v>
      </c>
      <c r="E40" s="195" t="str">
        <f>VLOOKUP('Liste Pagesa'!$B40,llog_organike,3,FALSE)</f>
        <v>BANKA KOMBËTARE TREGTARE sh.a.</v>
      </c>
      <c r="F40" s="305">
        <f>VLOOKUP('Liste Pagesa'!$B40,llog_organike,48,FALSE)</f>
        <v>98400</v>
      </c>
      <c r="G40" s="184"/>
      <c r="H40" s="184"/>
    </row>
    <row r="41" spans="2:8" ht="15" x14ac:dyDescent="0.25">
      <c r="B41" s="193" t="str">
        <f>'Liste Pagesa'!B41</f>
        <v>Emer_Mbimer_32</v>
      </c>
      <c r="C41" s="194" t="s">
        <v>286</v>
      </c>
      <c r="D41" s="260">
        <f>VLOOKUP('Liste Pagesa'!$B41,llog_organike,2,FALSE)</f>
        <v>216596034</v>
      </c>
      <c r="E41" s="195" t="str">
        <f>VLOOKUP('Liste Pagesa'!$B41,llog_organike,3,FALSE)</f>
        <v>BANKA OTP ALBANIA sh.a.</v>
      </c>
      <c r="F41" s="305">
        <f>VLOOKUP('Liste Pagesa'!$B41,llog_organike,48,FALSE)</f>
        <v>93253</v>
      </c>
      <c r="G41" s="184"/>
      <c r="H41" s="184"/>
    </row>
    <row r="42" spans="2:8" ht="15" x14ac:dyDescent="0.25">
      <c r="B42" s="193" t="str">
        <f>'Liste Pagesa'!B42</f>
        <v>Emer_Mbimer_33</v>
      </c>
      <c r="C42" s="194" t="s">
        <v>286</v>
      </c>
      <c r="D42" s="260">
        <f>VLOOKUP('Liste Pagesa'!$B42,llog_organike,2,FALSE)</f>
        <v>158019403</v>
      </c>
      <c r="E42" s="195" t="str">
        <f>VLOOKUP('Liste Pagesa'!$B42,llog_organike,3,FALSE)</f>
        <v>BANKA PROCREDIT sh.a.</v>
      </c>
      <c r="F42" s="305">
        <f>VLOOKUP('Liste Pagesa'!$B42,llog_organike,48,FALSE)</f>
        <v>87371</v>
      </c>
      <c r="G42" s="184"/>
      <c r="H42" s="184"/>
    </row>
    <row r="43" spans="2:8" ht="15" x14ac:dyDescent="0.25">
      <c r="B43" s="193" t="str">
        <f>'Liste Pagesa'!B43</f>
        <v>Emer_Mbimer_34</v>
      </c>
      <c r="C43" s="194" t="s">
        <v>286</v>
      </c>
      <c r="D43" s="260">
        <f>VLOOKUP('Liste Pagesa'!$B43,llog_organike,2,FALSE)</f>
        <v>562934589</v>
      </c>
      <c r="E43" s="195" t="str">
        <f>VLOOKUP('Liste Pagesa'!$B43,llog_organike,3,FALSE)</f>
        <v>BANKA RAIFFEISEN sh.a.</v>
      </c>
      <c r="F43" s="305">
        <f>VLOOKUP('Liste Pagesa'!$B43,llog_organike,48,FALSE)</f>
        <v>79761</v>
      </c>
      <c r="G43" s="184"/>
      <c r="H43" s="184"/>
    </row>
    <row r="44" spans="2:8" ht="15" x14ac:dyDescent="0.25">
      <c r="B44" s="193" t="str">
        <f>'Liste Pagesa'!B44</f>
        <v>Emer_Mbimer_35</v>
      </c>
      <c r="C44" s="194" t="s">
        <v>286</v>
      </c>
      <c r="D44" s="260">
        <f>VLOOKUP('Liste Pagesa'!$B44,llog_organike,2,FALSE)</f>
        <v>944386177</v>
      </c>
      <c r="E44" s="195" t="str">
        <f>VLOOKUP('Liste Pagesa'!$B44,llog_organike,3,FALSE)</f>
        <v>BANKA TIRANA sh.a.</v>
      </c>
      <c r="F44" s="305">
        <f>VLOOKUP('Liste Pagesa'!$B44,llog_organike,48,FALSE)</f>
        <v>72029</v>
      </c>
      <c r="G44" s="184"/>
      <c r="H44" s="184"/>
    </row>
    <row r="45" spans="2:8" ht="15" x14ac:dyDescent="0.25">
      <c r="B45" s="193" t="str">
        <f>'Liste Pagesa'!B45</f>
        <v>Emer_Mbimer_36</v>
      </c>
      <c r="C45" s="194" t="s">
        <v>286</v>
      </c>
      <c r="D45" s="260">
        <f>VLOOKUP('Liste Pagesa'!$B45,llog_organike,2,FALSE)</f>
        <v>278103787</v>
      </c>
      <c r="E45" s="195" t="str">
        <f>VLOOKUP('Liste Pagesa'!$B45,llog_organike,3,FALSE)</f>
        <v>BANKA UNION sh.a.</v>
      </c>
      <c r="F45" s="305">
        <f>VLOOKUP('Liste Pagesa'!$B45,llog_organike,48,FALSE)</f>
        <v>64176</v>
      </c>
      <c r="G45" s="184"/>
      <c r="H45" s="184"/>
    </row>
    <row r="46" spans="2:8" ht="15" x14ac:dyDescent="0.25">
      <c r="B46" s="193" t="str">
        <f>'Liste Pagesa'!B46</f>
        <v>Emer_Mbimer_37</v>
      </c>
      <c r="C46" s="194" t="s">
        <v>286</v>
      </c>
      <c r="D46" s="260">
        <f>VLOOKUP('Liste Pagesa'!$B46,llog_organike,2,FALSE)</f>
        <v>877191970</v>
      </c>
      <c r="E46" s="195" t="str">
        <f>VLOOKUP('Liste Pagesa'!$B46,llog_organike,3,FALSE)</f>
        <v>BANKA AMERIKANE E INVESTIMEVE sh.a.</v>
      </c>
      <c r="F46" s="305">
        <f>VLOOKUP('Liste Pagesa'!$B46,llog_organike,48,FALSE)</f>
        <v>196349</v>
      </c>
      <c r="G46" s="184"/>
      <c r="H46" s="184"/>
    </row>
    <row r="47" spans="2:8" ht="15" x14ac:dyDescent="0.25">
      <c r="B47" s="193" t="str">
        <f>'Liste Pagesa'!B47</f>
        <v>Emer_Mbimer_38</v>
      </c>
      <c r="C47" s="194" t="s">
        <v>286</v>
      </c>
      <c r="D47" s="260">
        <f>VLOOKUP('Liste Pagesa'!$B47,llog_organike,2,FALSE)</f>
        <v>844673531</v>
      </c>
      <c r="E47" s="195" t="str">
        <f>VLOOKUP('Liste Pagesa'!$B47,llog_organike,3,FALSE)</f>
        <v>BANKA CREDINS sh.a.</v>
      </c>
      <c r="F47" s="305">
        <f>VLOOKUP('Liste Pagesa'!$B47,llog_organike,48,FALSE)</f>
        <v>197410</v>
      </c>
      <c r="G47" s="184"/>
      <c r="H47" s="184"/>
    </row>
    <row r="48" spans="2:8" ht="15" x14ac:dyDescent="0.25">
      <c r="B48" s="193" t="str">
        <f>'Liste Pagesa'!B48</f>
        <v>Emer_Mbimer_39</v>
      </c>
      <c r="C48" s="194" t="s">
        <v>286</v>
      </c>
      <c r="D48" s="260">
        <f>VLOOKUP('Liste Pagesa'!$B48,llog_organike,2,FALSE)</f>
        <v>161847394</v>
      </c>
      <c r="E48" s="195" t="str">
        <f>VLOOKUP('Liste Pagesa'!$B48,llog_organike,3,FALSE)</f>
        <v>BANKA E BASHKUAR E SHQIPËRISË sh.a.</v>
      </c>
      <c r="F48" s="305">
        <f>VLOOKUP('Liste Pagesa'!$B48,llog_organike,48,FALSE)</f>
        <v>198472</v>
      </c>
      <c r="G48" s="184"/>
      <c r="H48" s="184"/>
    </row>
    <row r="49" spans="2:8" ht="15" x14ac:dyDescent="0.25">
      <c r="B49" s="193" t="str">
        <f>'Liste Pagesa'!B49</f>
        <v>Emer_Mbimer_40</v>
      </c>
      <c r="C49" s="194" t="s">
        <v>286</v>
      </c>
      <c r="D49" s="260">
        <f>VLOOKUP('Liste Pagesa'!$B49,llog_organike,2,FALSE)</f>
        <v>353369491</v>
      </c>
      <c r="E49" s="195" t="str">
        <f>VLOOKUP('Liste Pagesa'!$B49,llog_organike,3,FALSE)</f>
        <v>BANKA E PARË E INVESTIMEVE ALBANIA sh.a.</v>
      </c>
      <c r="F49" s="305">
        <f>VLOOKUP('Liste Pagesa'!$B49,llog_organike,48,FALSE)</f>
        <v>199534</v>
      </c>
      <c r="G49" s="184"/>
      <c r="H49" s="184"/>
    </row>
    <row r="50" spans="2:8" ht="15" x14ac:dyDescent="0.25">
      <c r="B50" s="193" t="str">
        <f>'Liste Pagesa'!B50</f>
        <v>Emer_Mbimer_41</v>
      </c>
      <c r="C50" s="194" t="s">
        <v>286</v>
      </c>
      <c r="D50" s="260">
        <f>VLOOKUP('Liste Pagesa'!$B50,llog_organike,2,FALSE)</f>
        <v>163970971</v>
      </c>
      <c r="E50" s="195" t="str">
        <f>VLOOKUP('Liste Pagesa'!$B50,llog_organike,3,FALSE)</f>
        <v>BANKA PROCREDIT sh.a.</v>
      </c>
      <c r="F50" s="305">
        <f>VLOOKUP('Liste Pagesa'!$B50,llog_organike,48,FALSE)</f>
        <v>200595</v>
      </c>
      <c r="G50" s="184"/>
      <c r="H50" s="184"/>
    </row>
    <row r="51" spans="2:8" ht="15" x14ac:dyDescent="0.25">
      <c r="B51" s="193" t="str">
        <f>'Liste Pagesa'!B51</f>
        <v>Emer_Mbimer_42</v>
      </c>
      <c r="C51" s="194" t="s">
        <v>286</v>
      </c>
      <c r="D51" s="260">
        <f>VLOOKUP('Liste Pagesa'!$B51,llog_organike,2,FALSE)</f>
        <v>438245007</v>
      </c>
      <c r="E51" s="195" t="str">
        <f>VLOOKUP('Liste Pagesa'!$B51,llog_organike,3,FALSE)</f>
        <v>BANKA RAIFFEISEN sh.a.</v>
      </c>
      <c r="F51" s="305">
        <f>VLOOKUP('Liste Pagesa'!$B51,llog_organike,48,FALSE)</f>
        <v>187615</v>
      </c>
      <c r="G51" s="184"/>
      <c r="H51" s="184"/>
    </row>
    <row r="52" spans="2:8" ht="15" x14ac:dyDescent="0.25">
      <c r="B52" s="193" t="str">
        <f>'Liste Pagesa'!B52</f>
        <v>Emer_Mbimer_43</v>
      </c>
      <c r="C52" s="194" t="s">
        <v>286</v>
      </c>
      <c r="D52" s="260">
        <f>VLOOKUP('Liste Pagesa'!$B52,llog_organike,2,FALSE)</f>
        <v>565843048</v>
      </c>
      <c r="E52" s="195" t="str">
        <f>VLOOKUP('Liste Pagesa'!$B52,llog_organike,3,FALSE)</f>
        <v>BANKA TIRANA sh.a.</v>
      </c>
      <c r="F52" s="305">
        <f>VLOOKUP('Liste Pagesa'!$B52,llog_organike,48,FALSE)</f>
        <v>188596</v>
      </c>
      <c r="G52" s="184"/>
      <c r="H52" s="184"/>
    </row>
    <row r="53" spans="2:8" ht="15" x14ac:dyDescent="0.25">
      <c r="B53" s="193" t="str">
        <f>'Liste Pagesa'!B53</f>
        <v>Emer_Mbimer_44</v>
      </c>
      <c r="C53" s="194" t="s">
        <v>286</v>
      </c>
      <c r="D53" s="260">
        <f>VLOOKUP('Liste Pagesa'!$B53,llog_organike,2,FALSE)</f>
        <v>394756042</v>
      </c>
      <c r="E53" s="195" t="str">
        <f>VLOOKUP('Liste Pagesa'!$B53,llog_organike,3,FALSE)</f>
        <v>BANKA UNION sh.a.</v>
      </c>
      <c r="F53" s="305">
        <f>VLOOKUP('Liste Pagesa'!$B53,llog_organike,48,FALSE)</f>
        <v>189576</v>
      </c>
      <c r="G53" s="184"/>
      <c r="H53" s="184"/>
    </row>
    <row r="54" spans="2:8" ht="15" x14ac:dyDescent="0.25">
      <c r="B54" s="193" t="str">
        <f>'Liste Pagesa'!B54</f>
        <v>Emer_Mbimer_45</v>
      </c>
      <c r="C54" s="194" t="s">
        <v>286</v>
      </c>
      <c r="D54" s="260">
        <f>VLOOKUP('Liste Pagesa'!$B54,llog_organike,2,FALSE)</f>
        <v>590653556</v>
      </c>
      <c r="E54" s="195" t="str">
        <f>VLOOKUP('Liste Pagesa'!$B54,llog_organike,3,FALSE)</f>
        <v>BANKA AMERIKANE E INVESTIMEVE sh.a.</v>
      </c>
      <c r="F54" s="305">
        <f>VLOOKUP('Liste Pagesa'!$B54,llog_organike,48,FALSE)</f>
        <v>190557</v>
      </c>
      <c r="G54" s="184"/>
      <c r="H54" s="184"/>
    </row>
    <row r="55" spans="2:8" ht="15" x14ac:dyDescent="0.25">
      <c r="B55" s="193" t="str">
        <f>'Liste Pagesa'!B55</f>
        <v>Emer_Mbimer_46</v>
      </c>
      <c r="C55" s="194" t="s">
        <v>286</v>
      </c>
      <c r="D55" s="260">
        <f>VLOOKUP('Liste Pagesa'!$B55,llog_organike,2,FALSE)</f>
        <v>622037866</v>
      </c>
      <c r="E55" s="195" t="str">
        <f>VLOOKUP('Liste Pagesa'!$B55,llog_organike,3,FALSE)</f>
        <v>BANKA CREDINS sh.a.</v>
      </c>
      <c r="F55" s="305">
        <f>VLOOKUP('Liste Pagesa'!$B55,llog_organike,48,FALSE)</f>
        <v>191537</v>
      </c>
      <c r="G55" s="184"/>
      <c r="H55" s="184"/>
    </row>
    <row r="56" spans="2:8" ht="15" x14ac:dyDescent="0.25">
      <c r="B56" s="193" t="str">
        <f>'Liste Pagesa'!B56</f>
        <v>Emer_Mbimer_47</v>
      </c>
      <c r="C56" s="194" t="s">
        <v>286</v>
      </c>
      <c r="D56" s="260">
        <f>VLOOKUP('Liste Pagesa'!$B56,llog_organike,2,FALSE)</f>
        <v>900167366</v>
      </c>
      <c r="E56" s="195" t="str">
        <f>VLOOKUP('Liste Pagesa'!$B56,llog_organike,3,FALSE)</f>
        <v>BANKA E BASHKUAR E SHQIPËRISË sh.a.</v>
      </c>
      <c r="F56" s="305">
        <f>VLOOKUP('Liste Pagesa'!$B56,llog_organike,48,FALSE)</f>
        <v>192844</v>
      </c>
      <c r="G56" s="184"/>
      <c r="H56" s="184"/>
    </row>
    <row r="57" spans="2:8" ht="15" x14ac:dyDescent="0.25">
      <c r="B57" s="193" t="str">
        <f>'Liste Pagesa'!B57</f>
        <v>Emer_Mbimer_48</v>
      </c>
      <c r="C57" s="194" t="s">
        <v>286</v>
      </c>
      <c r="D57" s="260">
        <f>VLOOKUP('Liste Pagesa'!$B57,llog_organike,2,FALSE)</f>
        <v>596728029</v>
      </c>
      <c r="E57" s="195" t="str">
        <f>VLOOKUP('Liste Pagesa'!$B57,llog_organike,3,FALSE)</f>
        <v>BANKA E PARË E INVESTIMEVE ALBANIA sh.a.</v>
      </c>
      <c r="F57" s="305">
        <f>VLOOKUP('Liste Pagesa'!$B57,llog_organike,48,FALSE)</f>
        <v>194152</v>
      </c>
      <c r="G57" s="184"/>
      <c r="H57" s="184"/>
    </row>
    <row r="58" spans="2:8" ht="15" x14ac:dyDescent="0.25">
      <c r="B58" s="193" t="str">
        <f>'Liste Pagesa'!B58</f>
        <v>Emer_Mbimer_49</v>
      </c>
      <c r="C58" s="194" t="s">
        <v>286</v>
      </c>
      <c r="D58" s="260">
        <f>VLOOKUP('Liste Pagesa'!$B58,llog_organike,2,FALSE)</f>
        <v>191988103</v>
      </c>
      <c r="E58" s="195" t="str">
        <f>VLOOKUP('Liste Pagesa'!$B58,llog_organike,3,FALSE)</f>
        <v>BANKA INTESA SANPAOLO ALBANIA sh.a.</v>
      </c>
      <c r="F58" s="305">
        <f>VLOOKUP('Liste Pagesa'!$B58,llog_organike,48,FALSE)</f>
        <v>195459</v>
      </c>
      <c r="G58" s="184"/>
      <c r="H58" s="184"/>
    </row>
    <row r="59" spans="2:8" ht="15" x14ac:dyDescent="0.25">
      <c r="B59" s="193" t="str">
        <f>'Liste Pagesa'!B59</f>
        <v>Emer_Mbimer_50</v>
      </c>
      <c r="C59" s="194" t="s">
        <v>286</v>
      </c>
      <c r="D59" s="260">
        <f>VLOOKUP('Liste Pagesa'!$B59,llog_organike,2,FALSE)</f>
        <v>445147453</v>
      </c>
      <c r="E59" s="195" t="str">
        <f>VLOOKUP('Liste Pagesa'!$B59,llog_organike,3,FALSE)</f>
        <v>BANKA KOMBËTARE TREGTARE sh.a.</v>
      </c>
      <c r="F59" s="305">
        <f>VLOOKUP('Liste Pagesa'!$B59,llog_organike,48,FALSE)</f>
        <v>196766</v>
      </c>
      <c r="G59" s="184"/>
      <c r="H59" s="184"/>
    </row>
    <row r="60" spans="2:8" ht="15" x14ac:dyDescent="0.25">
      <c r="B60" s="193" t="str">
        <f>'Liste Pagesa'!B60</f>
        <v>Emer_Mbimer_51</v>
      </c>
      <c r="C60" s="194" t="s">
        <v>286</v>
      </c>
      <c r="D60" s="260">
        <f>VLOOKUP('Liste Pagesa'!$B60,llog_organike,2,FALSE)</f>
        <v>226023380</v>
      </c>
      <c r="E60" s="195" t="str">
        <f>VLOOKUP('Liste Pagesa'!$B60,llog_organike,3,FALSE)</f>
        <v>BANKA OTP ALBANIA sh.a.</v>
      </c>
      <c r="F60" s="305">
        <f>VLOOKUP('Liste Pagesa'!$B60,llog_organike,48,FALSE)</f>
        <v>188133</v>
      </c>
      <c r="G60" s="184"/>
      <c r="H60" s="184"/>
    </row>
    <row r="61" spans="2:8" ht="15" x14ac:dyDescent="0.25">
      <c r="B61" s="193" t="str">
        <f>'Liste Pagesa'!B61</f>
        <v>Emer_Mbimer_52</v>
      </c>
      <c r="C61" s="194" t="s">
        <v>286</v>
      </c>
      <c r="D61" s="260">
        <f>VLOOKUP('Liste Pagesa'!$B61,llog_organike,2,FALSE)</f>
        <v>317189266</v>
      </c>
      <c r="E61" s="195" t="str">
        <f>VLOOKUP('Liste Pagesa'!$B61,llog_organike,3,FALSE)</f>
        <v>BANKA PROCREDIT sh.a.</v>
      </c>
      <c r="F61" s="305">
        <f>VLOOKUP('Liste Pagesa'!$B61,llog_organike,48,FALSE)</f>
        <v>189369</v>
      </c>
      <c r="G61" s="184"/>
      <c r="H61" s="184"/>
    </row>
    <row r="62" spans="2:8" ht="15" x14ac:dyDescent="0.25">
      <c r="B62" s="193" t="str">
        <f>'Liste Pagesa'!B62</f>
        <v>Emer_Mbimer_53</v>
      </c>
      <c r="C62" s="194" t="s">
        <v>286</v>
      </c>
      <c r="D62" s="260">
        <f>VLOOKUP('Liste Pagesa'!$B62,llog_organike,2,FALSE)</f>
        <v>437530928</v>
      </c>
      <c r="E62" s="195" t="str">
        <f>VLOOKUP('Liste Pagesa'!$B62,llog_organike,3,FALSE)</f>
        <v>BANKA RAIFFEISEN sh.a.</v>
      </c>
      <c r="F62" s="305">
        <f>VLOOKUP('Liste Pagesa'!$B62,llog_organike,48,FALSE)</f>
        <v>190604</v>
      </c>
      <c r="G62" s="184"/>
      <c r="H62" s="184"/>
    </row>
    <row r="63" spans="2:8" ht="15" x14ac:dyDescent="0.25">
      <c r="B63" s="193" t="str">
        <f>'Liste Pagesa'!B63</f>
        <v>Emer_Mbimer_54</v>
      </c>
      <c r="C63" s="194" t="s">
        <v>286</v>
      </c>
      <c r="D63" s="260">
        <f>VLOOKUP('Liste Pagesa'!$B63,llog_organike,2,FALSE)</f>
        <v>354870781</v>
      </c>
      <c r="E63" s="195" t="str">
        <f>VLOOKUP('Liste Pagesa'!$B63,llog_organike,3,FALSE)</f>
        <v>BANKA TIRANA sh.a.</v>
      </c>
      <c r="F63" s="305">
        <f>VLOOKUP('Liste Pagesa'!$B63,llog_organike,48,FALSE)</f>
        <v>191838</v>
      </c>
      <c r="G63" s="184"/>
      <c r="H63" s="184"/>
    </row>
    <row r="64" spans="2:8" ht="15" x14ac:dyDescent="0.25">
      <c r="B64" s="193" t="str">
        <f>'Liste Pagesa'!B64</f>
        <v>Emer_Mbimer_55</v>
      </c>
      <c r="C64" s="194" t="s">
        <v>286</v>
      </c>
      <c r="D64" s="260">
        <f>VLOOKUP('Liste Pagesa'!$B64,llog_organike,2,FALSE)</f>
        <v>791668855</v>
      </c>
      <c r="E64" s="195" t="str">
        <f>VLOOKUP('Liste Pagesa'!$B64,llog_organike,3,FALSE)</f>
        <v>BANKA UNION sh.a.</v>
      </c>
      <c r="F64" s="305">
        <f>VLOOKUP('Liste Pagesa'!$B64,llog_organike,48,FALSE)</f>
        <v>193073</v>
      </c>
      <c r="G64" s="184"/>
      <c r="H64" s="184"/>
    </row>
    <row r="65" spans="2:8" ht="15" x14ac:dyDescent="0.25">
      <c r="B65" s="193" t="str">
        <f>'Liste Pagesa'!B65</f>
        <v>Emer_Mbimer_56</v>
      </c>
      <c r="C65" s="194" t="s">
        <v>286</v>
      </c>
      <c r="D65" s="260">
        <f>VLOOKUP('Liste Pagesa'!$B65,llog_organike,2,FALSE)</f>
        <v>671170836</v>
      </c>
      <c r="E65" s="195" t="str">
        <f>VLOOKUP('Liste Pagesa'!$B65,llog_organike,3,FALSE)</f>
        <v>BANKA AMERIKANE E INVESTIMEVE sh.a.</v>
      </c>
      <c r="F65" s="305">
        <f>VLOOKUP('Liste Pagesa'!$B65,llog_organike,48,FALSE)</f>
        <v>194308</v>
      </c>
      <c r="G65" s="184"/>
      <c r="H65" s="184"/>
    </row>
    <row r="66" spans="2:8" ht="15" x14ac:dyDescent="0.25">
      <c r="B66" s="193" t="str">
        <f>'Liste Pagesa'!B66</f>
        <v>Emer_Mbimer_57</v>
      </c>
      <c r="C66" s="194" t="s">
        <v>286</v>
      </c>
      <c r="D66" s="260">
        <f>VLOOKUP('Liste Pagesa'!$B66,llog_organike,2,FALSE)</f>
        <v>239800331</v>
      </c>
      <c r="E66" s="195" t="str">
        <f>VLOOKUP('Liste Pagesa'!$B66,llog_organike,3,FALSE)</f>
        <v>BANKA CREDINS sh.a.</v>
      </c>
      <c r="F66" s="305">
        <f>VLOOKUP('Liste Pagesa'!$B66,llog_organike,48,FALSE)</f>
        <v>195851</v>
      </c>
      <c r="G66" s="184"/>
      <c r="H66" s="184"/>
    </row>
    <row r="67" spans="2:8" ht="15" x14ac:dyDescent="0.25">
      <c r="B67" s="193" t="str">
        <f>'Liste Pagesa'!B67</f>
        <v>Emer_Mbimer_58</v>
      </c>
      <c r="C67" s="194" t="s">
        <v>286</v>
      </c>
      <c r="D67" s="260">
        <f>VLOOKUP('Liste Pagesa'!$B67,llog_organike,2,FALSE)</f>
        <v>622088548</v>
      </c>
      <c r="E67" s="195" t="str">
        <f>VLOOKUP('Liste Pagesa'!$B67,llog_organike,3,FALSE)</f>
        <v>BANKA E BASHKUAR E SHQIPËRISË sh.a.</v>
      </c>
      <c r="F67" s="305">
        <f>VLOOKUP('Liste Pagesa'!$B67,llog_organike,48,FALSE)</f>
        <v>197395</v>
      </c>
      <c r="G67" s="184"/>
      <c r="H67" s="184"/>
    </row>
    <row r="68" spans="2:8" ht="15" x14ac:dyDescent="0.25">
      <c r="B68" s="193" t="str">
        <f>'Liste Pagesa'!B68</f>
        <v>Emer_Mbimer_59</v>
      </c>
      <c r="C68" s="194" t="s">
        <v>286</v>
      </c>
      <c r="D68" s="260">
        <f>VLOOKUP('Liste Pagesa'!$B68,llog_organike,2,FALSE)</f>
        <v>540210304</v>
      </c>
      <c r="E68" s="195" t="str">
        <f>VLOOKUP('Liste Pagesa'!$B68,llog_organike,3,FALSE)</f>
        <v>BANKA E PARË E INVESTIMEVE ALBANIA sh.a.</v>
      </c>
      <c r="F68" s="305">
        <f>VLOOKUP('Liste Pagesa'!$B68,llog_organike,48,FALSE)</f>
        <v>198939</v>
      </c>
      <c r="G68" s="184"/>
      <c r="H68" s="184"/>
    </row>
    <row r="69" spans="2:8" ht="15" x14ac:dyDescent="0.25">
      <c r="B69" s="193" t="str">
        <f>'Liste Pagesa'!B69</f>
        <v>Emer_Mbimer_60</v>
      </c>
      <c r="C69" s="194" t="s">
        <v>286</v>
      </c>
      <c r="D69" s="260">
        <f>VLOOKUP('Liste Pagesa'!$B69,llog_organike,2,FALSE)</f>
        <v>121293087</v>
      </c>
      <c r="E69" s="195" t="str">
        <f>VLOOKUP('Liste Pagesa'!$B69,llog_organike,3,FALSE)</f>
        <v>BANKA INTESA SANPAOLO ALBANIA sh.a.</v>
      </c>
      <c r="F69" s="305">
        <f>VLOOKUP('Liste Pagesa'!$B69,llog_organike,48,FALSE)</f>
        <v>200483</v>
      </c>
      <c r="G69" s="184"/>
      <c r="H69" s="184"/>
    </row>
    <row r="70" spans="2:8" ht="15" x14ac:dyDescent="0.25">
      <c r="B70" s="193" t="str">
        <f>'Liste Pagesa'!B70</f>
        <v>Emer_Mbimer_61</v>
      </c>
      <c r="C70" s="194" t="s">
        <v>286</v>
      </c>
      <c r="D70" s="260">
        <f>VLOOKUP('Liste Pagesa'!$B70,llog_organike,2,FALSE)</f>
        <v>429136476</v>
      </c>
      <c r="E70" s="195" t="str">
        <f>VLOOKUP('Liste Pagesa'!$B70,llog_organike,3,FALSE)</f>
        <v>BANKA KOMBËTARE TREGTARE sh.a.</v>
      </c>
      <c r="F70" s="305">
        <f>VLOOKUP('Liste Pagesa'!$B70,llog_organike,48,FALSE)</f>
        <v>202026</v>
      </c>
      <c r="G70" s="184"/>
      <c r="H70" s="184"/>
    </row>
    <row r="71" spans="2:8" ht="15" x14ac:dyDescent="0.25">
      <c r="B71" s="193" t="str">
        <f>'Liste Pagesa'!B71</f>
        <v>Emer_Mbimer_62</v>
      </c>
      <c r="C71" s="194" t="s">
        <v>286</v>
      </c>
      <c r="D71" s="260">
        <f>VLOOKUP('Liste Pagesa'!$B71,llog_organike,2,FALSE)</f>
        <v>768749641</v>
      </c>
      <c r="E71" s="195" t="str">
        <f>VLOOKUP('Liste Pagesa'!$B71,llog_organike,3,FALSE)</f>
        <v>BANKA OTP ALBANIA sh.a.</v>
      </c>
      <c r="F71" s="305">
        <f>VLOOKUP('Liste Pagesa'!$B71,llog_organike,48,FALSE)</f>
        <v>180980</v>
      </c>
      <c r="G71" s="184"/>
      <c r="H71" s="184"/>
    </row>
    <row r="72" spans="2:8" ht="15" x14ac:dyDescent="0.25">
      <c r="B72" s="193" t="str">
        <f>'Liste Pagesa'!B72</f>
        <v>Emer_Mbimer_63</v>
      </c>
      <c r="C72" s="194" t="s">
        <v>286</v>
      </c>
      <c r="D72" s="260">
        <f>VLOOKUP('Liste Pagesa'!$B72,llog_organike,2,FALSE)</f>
        <v>379561303</v>
      </c>
      <c r="E72" s="195" t="str">
        <f>VLOOKUP('Liste Pagesa'!$B72,llog_organike,3,FALSE)</f>
        <v>BANKA PROCREDIT sh.a.</v>
      </c>
      <c r="F72" s="305">
        <f>VLOOKUP('Liste Pagesa'!$B72,llog_organike,48,FALSE)</f>
        <v>182335</v>
      </c>
      <c r="G72" s="184"/>
      <c r="H72" s="184"/>
    </row>
    <row r="73" spans="2:8" ht="15" x14ac:dyDescent="0.25">
      <c r="B73" s="193" t="str">
        <f>'Liste Pagesa'!B73</f>
        <v>Emer_Mbimer_64</v>
      </c>
      <c r="C73" s="194" t="s">
        <v>286</v>
      </c>
      <c r="D73" s="260">
        <f>VLOOKUP('Liste Pagesa'!$B73,llog_organike,2,FALSE)</f>
        <v>626786150</v>
      </c>
      <c r="E73" s="195" t="str">
        <f>VLOOKUP('Liste Pagesa'!$B73,llog_organike,3,FALSE)</f>
        <v>BANKA RAIFFEISEN sh.a.</v>
      </c>
      <c r="F73" s="305">
        <f>VLOOKUP('Liste Pagesa'!$B73,llog_organike,48,FALSE)</f>
        <v>183691</v>
      </c>
      <c r="G73" s="184"/>
      <c r="H73" s="184"/>
    </row>
    <row r="74" spans="2:8" ht="15" x14ac:dyDescent="0.25">
      <c r="B74" s="193" t="str">
        <f>'Liste Pagesa'!B74</f>
        <v>Emer_Mbimer_65</v>
      </c>
      <c r="C74" s="194" t="s">
        <v>286</v>
      </c>
      <c r="D74" s="260">
        <f>VLOOKUP('Liste Pagesa'!$B74,llog_organike,2,FALSE)</f>
        <v>506443680</v>
      </c>
      <c r="E74" s="195" t="str">
        <f>VLOOKUP('Liste Pagesa'!$B74,llog_organike,3,FALSE)</f>
        <v>BANKA TIRANA sh.a.</v>
      </c>
      <c r="F74" s="305">
        <f>VLOOKUP('Liste Pagesa'!$B74,llog_organike,48,FALSE)</f>
        <v>185046</v>
      </c>
      <c r="G74" s="184"/>
      <c r="H74" s="184"/>
    </row>
    <row r="75" spans="2:8" ht="15" x14ac:dyDescent="0.25">
      <c r="B75" s="193" t="str">
        <f>'Liste Pagesa'!B75</f>
        <v>Emer_Mbimer_66</v>
      </c>
      <c r="C75" s="194" t="s">
        <v>286</v>
      </c>
      <c r="D75" s="260">
        <f>VLOOKUP('Liste Pagesa'!$B75,llog_organike,2,FALSE)</f>
        <v>304266564</v>
      </c>
      <c r="E75" s="195" t="str">
        <f>VLOOKUP('Liste Pagesa'!$B75,llog_organike,3,FALSE)</f>
        <v>BANKA UNION sh.a.</v>
      </c>
      <c r="F75" s="305">
        <f>VLOOKUP('Liste Pagesa'!$B75,llog_organike,48,FALSE)</f>
        <v>186402</v>
      </c>
      <c r="G75" s="184"/>
      <c r="H75" s="184"/>
    </row>
    <row r="76" spans="2:8" ht="15" x14ac:dyDescent="0.25">
      <c r="B76" s="193" t="str">
        <f>'Liste Pagesa'!B76</f>
        <v>Emer_Mbimer_67</v>
      </c>
      <c r="C76" s="194" t="s">
        <v>286</v>
      </c>
      <c r="D76" s="260">
        <f>VLOOKUP('Liste Pagesa'!$B76,llog_organike,2,FALSE)</f>
        <v>134945895</v>
      </c>
      <c r="E76" s="195" t="str">
        <f>VLOOKUP('Liste Pagesa'!$B76,llog_organike,3,FALSE)</f>
        <v>BANKA AMERIKANE E INVESTIMEVE sh.a.</v>
      </c>
      <c r="F76" s="305">
        <f>VLOOKUP('Liste Pagesa'!$B76,llog_organike,48,FALSE)</f>
        <v>211806</v>
      </c>
      <c r="G76" s="184"/>
      <c r="H76" s="184"/>
    </row>
    <row r="77" spans="2:8" ht="15" x14ac:dyDescent="0.25">
      <c r="B77" s="193" t="str">
        <f>'Liste Pagesa'!B77</f>
        <v>Emer_Mbimer_68</v>
      </c>
      <c r="C77" s="194" t="s">
        <v>286</v>
      </c>
      <c r="D77" s="260">
        <f>VLOOKUP('Liste Pagesa'!$B77,llog_organike,2,FALSE)</f>
        <v>232252388</v>
      </c>
      <c r="E77" s="195" t="str">
        <f>VLOOKUP('Liste Pagesa'!$B77,llog_organike,3,FALSE)</f>
        <v>BANKA CREDINS sh.a.</v>
      </c>
      <c r="F77" s="305">
        <f>VLOOKUP('Liste Pagesa'!$B77,llog_organike,48,FALSE)</f>
        <v>162155</v>
      </c>
      <c r="G77" s="184"/>
      <c r="H77" s="184"/>
    </row>
    <row r="78" spans="2:8" ht="15" x14ac:dyDescent="0.25">
      <c r="B78" s="193" t="str">
        <f>'Liste Pagesa'!B78</f>
        <v>Emer_Mbimer_69</v>
      </c>
      <c r="C78" s="194" t="s">
        <v>286</v>
      </c>
      <c r="D78" s="260">
        <f>VLOOKUP('Liste Pagesa'!$B78,llog_organike,2,FALSE)</f>
        <v>359464468</v>
      </c>
      <c r="E78" s="195" t="str">
        <f>VLOOKUP('Liste Pagesa'!$B78,llog_organike,3,FALSE)</f>
        <v>BANKA E BASHKUAR E SHQIPËRISË sh.a.</v>
      </c>
      <c r="F78" s="305">
        <f>VLOOKUP('Liste Pagesa'!$B78,llog_organike,48,FALSE)</f>
        <v>132760</v>
      </c>
      <c r="G78" s="184"/>
      <c r="H78" s="184"/>
    </row>
    <row r="79" spans="2:8" ht="15" x14ac:dyDescent="0.25">
      <c r="B79" s="193" t="str">
        <f>'Liste Pagesa'!B79</f>
        <v>Emer_Mbimer_70</v>
      </c>
      <c r="C79" s="194" t="s">
        <v>286</v>
      </c>
      <c r="D79" s="260">
        <f>VLOOKUP('Liste Pagesa'!$B79,llog_organike,2,FALSE)</f>
        <v>965022395</v>
      </c>
      <c r="E79" s="195" t="str">
        <f>VLOOKUP('Liste Pagesa'!$B79,llog_organike,3,FALSE)</f>
        <v>BANKA E PARË E INVESTIMEVE ALBANIA sh.a.</v>
      </c>
      <c r="F79" s="305">
        <f>VLOOKUP('Liste Pagesa'!$B79,llog_organike,48,FALSE)</f>
        <v>72530</v>
      </c>
      <c r="G79" s="184"/>
      <c r="H79" s="184"/>
    </row>
    <row r="80" spans="2:8" ht="15" x14ac:dyDescent="0.25">
      <c r="B80" s="193" t="str">
        <f>'Liste Pagesa'!B80</f>
        <v>Emer_Mbimer_71</v>
      </c>
      <c r="C80" s="194" t="s">
        <v>286</v>
      </c>
      <c r="D80" s="260">
        <f>VLOOKUP('Liste Pagesa'!$B80,llog_organike,2,FALSE)</f>
        <v>217976478</v>
      </c>
      <c r="E80" s="195" t="str">
        <f>VLOOKUP('Liste Pagesa'!$B80,llog_organike,3,FALSE)</f>
        <v>BANKA INTESA SANPAOLO ALBANIA sh.a.</v>
      </c>
      <c r="F80" s="305">
        <f>VLOOKUP('Liste Pagesa'!$B80,llog_organike,48,FALSE)</f>
        <v>72939</v>
      </c>
      <c r="G80" s="184"/>
      <c r="H80" s="184"/>
    </row>
    <row r="81" spans="2:8" ht="15" x14ac:dyDescent="0.25">
      <c r="B81" s="193" t="str">
        <f>'Liste Pagesa'!B81</f>
        <v>Emer_Mbimer_72</v>
      </c>
      <c r="C81" s="194" t="s">
        <v>286</v>
      </c>
      <c r="D81" s="260">
        <f>VLOOKUP('Liste Pagesa'!$B81,llog_organike,2,FALSE)</f>
        <v>376277683</v>
      </c>
      <c r="E81" s="195" t="str">
        <f>VLOOKUP('Liste Pagesa'!$B81,llog_organike,3,FALSE)</f>
        <v>BANKA KOMBËTARE TREGTARE sh.a.</v>
      </c>
      <c r="F81" s="305">
        <f>VLOOKUP('Liste Pagesa'!$B81,llog_organike,48,FALSE)</f>
        <v>73347</v>
      </c>
      <c r="G81" s="184"/>
      <c r="H81" s="184"/>
    </row>
    <row r="82" spans="2:8" ht="15" x14ac:dyDescent="0.25">
      <c r="B82" s="193" t="str">
        <f>'Liste Pagesa'!B82</f>
        <v>Emer_Mbimer_73</v>
      </c>
      <c r="C82" s="194" t="s">
        <v>286</v>
      </c>
      <c r="D82" s="260">
        <f>VLOOKUP('Liste Pagesa'!$B82,llog_organike,2,FALSE)</f>
        <v>239368361</v>
      </c>
      <c r="E82" s="195" t="str">
        <f>VLOOKUP('Liste Pagesa'!$B82,llog_organike,3,FALSE)</f>
        <v>BANKA OTP ALBANIA sh.a.</v>
      </c>
      <c r="F82" s="305">
        <f>VLOOKUP('Liste Pagesa'!$B82,llog_organike,48,FALSE)</f>
        <v>73757</v>
      </c>
      <c r="G82" s="184"/>
      <c r="H82" s="184"/>
    </row>
    <row r="83" spans="2:8" ht="15" x14ac:dyDescent="0.25">
      <c r="B83" s="193" t="str">
        <f>'Liste Pagesa'!B83</f>
        <v>Emer_Mbimer_74</v>
      </c>
      <c r="C83" s="194" t="s">
        <v>286</v>
      </c>
      <c r="D83" s="260">
        <f>VLOOKUP('Liste Pagesa'!$B83,llog_organike,2,FALSE)</f>
        <v>769312475</v>
      </c>
      <c r="E83" s="195" t="str">
        <f>VLOOKUP('Liste Pagesa'!$B83,llog_organike,3,FALSE)</f>
        <v>BANKA PROCREDIT sh.a.</v>
      </c>
      <c r="F83" s="305">
        <f>VLOOKUP('Liste Pagesa'!$B83,llog_organike,48,FALSE)</f>
        <v>74166</v>
      </c>
      <c r="G83" s="184"/>
      <c r="H83" s="184"/>
    </row>
    <row r="84" spans="2:8" ht="15" x14ac:dyDescent="0.25">
      <c r="B84" s="193" t="str">
        <f>'Liste Pagesa'!B84</f>
        <v>Emer_Mbimer_75</v>
      </c>
      <c r="C84" s="194" t="s">
        <v>286</v>
      </c>
      <c r="D84" s="260">
        <f>VLOOKUP('Liste Pagesa'!$B84,llog_organike,2,FALSE)</f>
        <v>524785105</v>
      </c>
      <c r="E84" s="195" t="str">
        <f>VLOOKUP('Liste Pagesa'!$B84,llog_organike,3,FALSE)</f>
        <v>BANKA RAIFFEISEN sh.a.</v>
      </c>
      <c r="F84" s="305">
        <f>VLOOKUP('Liste Pagesa'!$B84,llog_organike,48,FALSE)</f>
        <v>74576</v>
      </c>
      <c r="G84" s="184"/>
      <c r="H84" s="184"/>
    </row>
    <row r="85" spans="2:8" ht="15" x14ac:dyDescent="0.25">
      <c r="B85" s="193" t="str">
        <f>'Liste Pagesa'!B85</f>
        <v>Emer_Mbimer_76</v>
      </c>
      <c r="C85" s="194" t="s">
        <v>286</v>
      </c>
      <c r="D85" s="260">
        <f>VLOOKUP('Liste Pagesa'!$B85,llog_organike,2,FALSE)</f>
        <v>144725944</v>
      </c>
      <c r="E85" s="195" t="str">
        <f>VLOOKUP('Liste Pagesa'!$B85,llog_organike,3,FALSE)</f>
        <v>BANKA TIRANA sh.a.</v>
      </c>
      <c r="F85" s="305">
        <f>VLOOKUP('Liste Pagesa'!$B85,llog_organike,48,FALSE)</f>
        <v>74986</v>
      </c>
      <c r="G85" s="184"/>
      <c r="H85" s="184"/>
    </row>
    <row r="86" spans="2:8" ht="15" x14ac:dyDescent="0.25">
      <c r="B86" s="193" t="str">
        <f>'Liste Pagesa'!B86</f>
        <v>Emer_Mbimer_77</v>
      </c>
      <c r="C86" s="194" t="s">
        <v>286</v>
      </c>
      <c r="D86" s="260">
        <f>VLOOKUP('Liste Pagesa'!$B86,llog_organike,2,FALSE)</f>
        <v>843035405</v>
      </c>
      <c r="E86" s="195" t="str">
        <f>VLOOKUP('Liste Pagesa'!$B86,llog_organike,3,FALSE)</f>
        <v>BANKA UNION sh.a.</v>
      </c>
      <c r="F86" s="305">
        <f>VLOOKUP('Liste Pagesa'!$B86,llog_organike,48,FALSE)</f>
        <v>75395</v>
      </c>
      <c r="G86" s="184"/>
      <c r="H86" s="184"/>
    </row>
    <row r="87" spans="2:8" ht="15" x14ac:dyDescent="0.25">
      <c r="B87" s="193" t="str">
        <f>'Liste Pagesa'!B87</f>
        <v>Emer_Mbimer_78</v>
      </c>
      <c r="C87" s="194" t="s">
        <v>286</v>
      </c>
      <c r="D87" s="260">
        <f>VLOOKUP('Liste Pagesa'!$B87,llog_organike,2,FALSE)</f>
        <v>255859542</v>
      </c>
      <c r="E87" s="195" t="str">
        <f>VLOOKUP('Liste Pagesa'!$B87,llog_organike,3,FALSE)</f>
        <v>BANKA E PARË E INVESTIMEVE ALBANIA sh.a.</v>
      </c>
      <c r="F87" s="305">
        <f>VLOOKUP('Liste Pagesa'!$B87,llog_organike,48,FALSE)</f>
        <v>72120</v>
      </c>
      <c r="G87" s="184"/>
      <c r="H87" s="184"/>
    </row>
    <row r="88" spans="2:8" ht="15" x14ac:dyDescent="0.25">
      <c r="B88" s="193" t="str">
        <f>'Liste Pagesa'!B88</f>
        <v>Emer_Mbimer_79</v>
      </c>
      <c r="C88" s="194" t="s">
        <v>286</v>
      </c>
      <c r="D88" s="260">
        <f>VLOOKUP('Liste Pagesa'!$B88,llog_organike,2,FALSE)</f>
        <v>234140582</v>
      </c>
      <c r="E88" s="195" t="str">
        <f>VLOOKUP('Liste Pagesa'!$B88,llog_organike,3,FALSE)</f>
        <v>BANKA INTESA SANPAOLO ALBANIA sh.a.</v>
      </c>
      <c r="F88" s="305">
        <f>VLOOKUP('Liste Pagesa'!$B88,llog_organike,48,FALSE)</f>
        <v>64904</v>
      </c>
      <c r="G88" s="184"/>
      <c r="H88" s="184"/>
    </row>
    <row r="89" spans="2:8" ht="15" x14ac:dyDescent="0.25">
      <c r="B89" s="193" t="str">
        <f>'Liste Pagesa'!B89</f>
        <v>Emer_Mbimer_80</v>
      </c>
      <c r="C89" s="194" t="s">
        <v>286</v>
      </c>
      <c r="D89" s="260">
        <f>VLOOKUP('Liste Pagesa'!$B89,llog_organike,2,FALSE)</f>
        <v>435045462</v>
      </c>
      <c r="E89" s="195" t="str">
        <f>VLOOKUP('Liste Pagesa'!$B89,llog_organike,3,FALSE)</f>
        <v>BANKA KOMBËTARE TREGTARE sh.a.</v>
      </c>
      <c r="F89" s="305">
        <f>VLOOKUP('Liste Pagesa'!$B89,llog_organike,48,FALSE)</f>
        <v>65268</v>
      </c>
      <c r="G89" s="184"/>
      <c r="H89" s="184"/>
    </row>
    <row r="90" spans="2:8" ht="15" x14ac:dyDescent="0.25">
      <c r="B90" s="193" t="str">
        <f>'Liste Pagesa'!B90</f>
        <v>Emer_Mbimer_81</v>
      </c>
      <c r="C90" s="194" t="s">
        <v>286</v>
      </c>
      <c r="D90" s="260">
        <f>VLOOKUP('Liste Pagesa'!$B90,llog_organike,2,FALSE)</f>
        <v>167231101</v>
      </c>
      <c r="E90" s="195" t="str">
        <f>VLOOKUP('Liste Pagesa'!$B90,llog_organike,3,FALSE)</f>
        <v>BANKA OTP ALBANIA sh.a.</v>
      </c>
      <c r="F90" s="305">
        <f>VLOOKUP('Liste Pagesa'!$B90,llog_organike,48,FALSE)</f>
        <v>65632</v>
      </c>
      <c r="G90" s="184"/>
      <c r="H90" s="184"/>
    </row>
    <row r="91" spans="2:8" ht="15" x14ac:dyDescent="0.25">
      <c r="B91" s="193" t="str">
        <f>'Liste Pagesa'!B91</f>
        <v>Emer_Mbimer_82</v>
      </c>
      <c r="C91" s="194" t="s">
        <v>286</v>
      </c>
      <c r="D91" s="260">
        <f>VLOOKUP('Liste Pagesa'!$B91,llog_organike,2,FALSE)</f>
        <v>905922087</v>
      </c>
      <c r="E91" s="195" t="str">
        <f>VLOOKUP('Liste Pagesa'!$B91,llog_organike,3,FALSE)</f>
        <v>BANKA PROCREDIT sh.a.</v>
      </c>
      <c r="F91" s="305">
        <f>VLOOKUP('Liste Pagesa'!$B91,llog_organike,48,FALSE)</f>
        <v>65995</v>
      </c>
      <c r="G91" s="184"/>
      <c r="H91" s="184"/>
    </row>
    <row r="92" spans="2:8" ht="15" x14ac:dyDescent="0.25">
      <c r="B92" s="193" t="str">
        <f>'Liste Pagesa'!B92</f>
        <v>Emer_Mbimer_83</v>
      </c>
      <c r="C92" s="194" t="s">
        <v>286</v>
      </c>
      <c r="D92" s="260">
        <f>VLOOKUP('Liste Pagesa'!$B92,llog_organike,2,FALSE)</f>
        <v>549001550</v>
      </c>
      <c r="E92" s="195" t="str">
        <f>VLOOKUP('Liste Pagesa'!$B92,llog_organike,3,FALSE)</f>
        <v>BANKA RAIFFEISEN sh.a.</v>
      </c>
      <c r="F92" s="305">
        <f>VLOOKUP('Liste Pagesa'!$B92,llog_organike,48,FALSE)</f>
        <v>66359</v>
      </c>
      <c r="G92" s="184"/>
      <c r="H92" s="184"/>
    </row>
    <row r="93" spans="2:8" ht="15" x14ac:dyDescent="0.25">
      <c r="B93" s="193" t="str">
        <f>'Liste Pagesa'!B93</f>
        <v>Emer_Mbimer_84</v>
      </c>
      <c r="C93" s="194" t="s">
        <v>286</v>
      </c>
      <c r="D93" s="260">
        <f>VLOOKUP('Liste Pagesa'!$B93,llog_organike,2,FALSE)</f>
        <v>942740018</v>
      </c>
      <c r="E93" s="195" t="str">
        <f>VLOOKUP('Liste Pagesa'!$B93,llog_organike,3,FALSE)</f>
        <v>BANKA TIRANA sh.a.</v>
      </c>
      <c r="F93" s="305">
        <f>VLOOKUP('Liste Pagesa'!$B93,llog_organike,48,FALSE)</f>
        <v>66723</v>
      </c>
      <c r="G93" s="184"/>
      <c r="H93" s="184"/>
    </row>
    <row r="94" spans="2:8" ht="15" x14ac:dyDescent="0.25">
      <c r="B94" s="193" t="str">
        <f>'Liste Pagesa'!B94</f>
        <v>Emer_Mbimer_85</v>
      </c>
      <c r="C94" s="194" t="s">
        <v>286</v>
      </c>
      <c r="D94" s="260">
        <f>VLOOKUP('Liste Pagesa'!$B94,llog_organike,2,FALSE)</f>
        <v>365402827</v>
      </c>
      <c r="E94" s="195" t="str">
        <f>VLOOKUP('Liste Pagesa'!$B94,llog_organike,3,FALSE)</f>
        <v>BANKA UNION sh.a.</v>
      </c>
      <c r="F94" s="305">
        <f>VLOOKUP('Liste Pagesa'!$B94,llog_organike,48,FALSE)</f>
        <v>64540</v>
      </c>
      <c r="G94" s="184"/>
      <c r="H94" s="184"/>
    </row>
    <row r="95" spans="2:8" ht="15" x14ac:dyDescent="0.25">
      <c r="B95" s="193" t="str">
        <f>'Liste Pagesa'!B95</f>
        <v>Emer_Mbimer_86</v>
      </c>
      <c r="C95" s="194" t="s">
        <v>286</v>
      </c>
      <c r="D95" s="260">
        <f>VLOOKUP('Liste Pagesa'!$B95,llog_organike,2,FALSE)</f>
        <v>431857280</v>
      </c>
      <c r="E95" s="195" t="str">
        <f>VLOOKUP('Liste Pagesa'!$B95,llog_organike,3,FALSE)</f>
        <v>BANKA AMERIKANE E INVESTIMEVE sh.a.</v>
      </c>
      <c r="F95" s="305">
        <f>VLOOKUP('Liste Pagesa'!$B95,llog_organike,48,FALSE)</f>
        <v>35875</v>
      </c>
      <c r="G95" s="184"/>
      <c r="H95" s="184"/>
    </row>
    <row r="96" spans="2:8" ht="15" x14ac:dyDescent="0.25">
      <c r="B96" s="193" t="str">
        <f>'Liste Pagesa'!B96</f>
        <v>Emer_Mbimer_87</v>
      </c>
      <c r="C96" s="194" t="s">
        <v>286</v>
      </c>
      <c r="D96" s="260">
        <f>VLOOKUP('Liste Pagesa'!$B96,llog_organike,2,FALSE)</f>
        <v>267912461</v>
      </c>
      <c r="E96" s="195" t="str">
        <f>VLOOKUP('Liste Pagesa'!$B96,llog_organike,3,FALSE)</f>
        <v>BANKA CREDINS sh.a.</v>
      </c>
      <c r="F96" s="305">
        <f>VLOOKUP('Liste Pagesa'!$B96,llog_organike,48,FALSE)</f>
        <v>37136</v>
      </c>
      <c r="G96" s="184"/>
      <c r="H96" s="184"/>
    </row>
    <row r="97" spans="2:8" ht="15" x14ac:dyDescent="0.25">
      <c r="B97" s="193" t="str">
        <f>'Liste Pagesa'!B97</f>
        <v>Emer_Mbimer_88</v>
      </c>
      <c r="C97" s="194" t="s">
        <v>286</v>
      </c>
      <c r="D97" s="260">
        <f>VLOOKUP('Liste Pagesa'!$B97,llog_organike,2,FALSE)</f>
        <v>783433340</v>
      </c>
      <c r="E97" s="195" t="str">
        <f>VLOOKUP('Liste Pagesa'!$B97,llog_organike,3,FALSE)</f>
        <v>BANKA E BASHKUAR E SHQIPËRISË sh.a.</v>
      </c>
      <c r="F97" s="305">
        <f>VLOOKUP('Liste Pagesa'!$B97,llog_organike,48,FALSE)</f>
        <v>38232</v>
      </c>
      <c r="G97" s="184"/>
      <c r="H97" s="184"/>
    </row>
    <row r="98" spans="2:8" ht="15" x14ac:dyDescent="0.25">
      <c r="B98" s="193" t="str">
        <f>'Liste Pagesa'!B98</f>
        <v>Emer_Mbimer_89</v>
      </c>
      <c r="C98" s="194" t="s">
        <v>286</v>
      </c>
      <c r="D98" s="260">
        <f>VLOOKUP('Liste Pagesa'!$B98,llog_organike,2,FALSE)</f>
        <v>660732533</v>
      </c>
      <c r="E98" s="195" t="str">
        <f>VLOOKUP('Liste Pagesa'!$B98,llog_organike,3,FALSE)</f>
        <v>BANKA E PARË E INVESTIMEVE ALBANIA sh.a.</v>
      </c>
      <c r="F98" s="305">
        <f>VLOOKUP('Liste Pagesa'!$B98,llog_organike,48,FALSE)</f>
        <v>39250</v>
      </c>
      <c r="G98" s="184"/>
      <c r="H98" s="184"/>
    </row>
    <row r="99" spans="2:8" ht="15" x14ac:dyDescent="0.25">
      <c r="B99" s="193" t="str">
        <f>'Liste Pagesa'!B99</f>
        <v>Emer_Mbimer_90</v>
      </c>
      <c r="C99" s="194" t="s">
        <v>286</v>
      </c>
      <c r="D99" s="260">
        <f>VLOOKUP('Liste Pagesa'!$B99,llog_organike,2,FALSE)</f>
        <v>496727364</v>
      </c>
      <c r="E99" s="195" t="str">
        <f>VLOOKUP('Liste Pagesa'!$B99,llog_organike,3,FALSE)</f>
        <v>BANKA INTESA SANPAOLO ALBANIA sh.a.</v>
      </c>
      <c r="F99" s="305">
        <f>VLOOKUP('Liste Pagesa'!$B99,llog_organike,48,FALSE)</f>
        <v>40093</v>
      </c>
      <c r="G99" s="184"/>
      <c r="H99" s="184"/>
    </row>
    <row r="100" spans="2:8" ht="15" x14ac:dyDescent="0.25">
      <c r="B100" s="193" t="str">
        <f>'Liste Pagesa'!B100</f>
        <v>Emer_Mbimer_91</v>
      </c>
      <c r="C100" s="194" t="s">
        <v>286</v>
      </c>
      <c r="D100" s="260">
        <f>VLOOKUP('Liste Pagesa'!$B100,llog_organike,2,FALSE)</f>
        <v>715426563</v>
      </c>
      <c r="E100" s="195" t="str">
        <f>VLOOKUP('Liste Pagesa'!$B100,llog_organike,3,FALSE)</f>
        <v>BANKA KOMBËTARE TREGTARE sh.a.</v>
      </c>
      <c r="F100" s="305">
        <f>VLOOKUP('Liste Pagesa'!$B100,llog_organike,48,FALSE)</f>
        <v>41416</v>
      </c>
      <c r="G100" s="184"/>
      <c r="H100" s="184"/>
    </row>
    <row r="101" spans="2:8" ht="15" x14ac:dyDescent="0.25">
      <c r="B101" s="193" t="str">
        <f>'Liste Pagesa'!B101</f>
        <v>Emer_Mbimer_92</v>
      </c>
      <c r="C101" s="194" t="s">
        <v>286</v>
      </c>
      <c r="D101" s="260">
        <f>VLOOKUP('Liste Pagesa'!$B101,llog_organike,2,FALSE)</f>
        <v>208317384</v>
      </c>
      <c r="E101" s="195" t="str">
        <f>VLOOKUP('Liste Pagesa'!$B101,llog_organike,3,FALSE)</f>
        <v>BANKA OTP ALBANIA sh.a.</v>
      </c>
      <c r="F101" s="305">
        <f>VLOOKUP('Liste Pagesa'!$B101,llog_organike,48,FALSE)</f>
        <v>43232</v>
      </c>
      <c r="G101" s="184"/>
      <c r="H101" s="184"/>
    </row>
    <row r="102" spans="2:8" ht="15" x14ac:dyDescent="0.25">
      <c r="B102" s="193" t="str">
        <f>'Liste Pagesa'!B102</f>
        <v>Emer_Mbimer_93</v>
      </c>
      <c r="C102" s="194" t="s">
        <v>286</v>
      </c>
      <c r="D102" s="260">
        <f>VLOOKUP('Liste Pagesa'!$B102,llog_organike,2,FALSE)</f>
        <v>974381011</v>
      </c>
      <c r="E102" s="195" t="str">
        <f>VLOOKUP('Liste Pagesa'!$B102,llog_organike,3,FALSE)</f>
        <v>BANKA PROCREDIT sh.a.</v>
      </c>
      <c r="F102" s="305">
        <f>VLOOKUP('Liste Pagesa'!$B102,llog_organike,48,FALSE)</f>
        <v>42453</v>
      </c>
      <c r="G102" s="184"/>
      <c r="H102" s="184"/>
    </row>
    <row r="103" spans="2:8" ht="15" x14ac:dyDescent="0.25">
      <c r="B103" s="193" t="str">
        <f>'Liste Pagesa'!B103</f>
        <v>Emer_Mbimer_94</v>
      </c>
      <c r="C103" s="194" t="s">
        <v>286</v>
      </c>
      <c r="D103" s="260">
        <f>VLOOKUP('Liste Pagesa'!$B103,llog_organike,2,FALSE)</f>
        <v>776588522</v>
      </c>
      <c r="E103" s="195" t="str">
        <f>VLOOKUP('Liste Pagesa'!$B103,llog_organike,3,FALSE)</f>
        <v>BANKA RAIFFEISEN sh.a.</v>
      </c>
      <c r="F103" s="305">
        <f>VLOOKUP('Liste Pagesa'!$B103,llog_organike,48,FALSE)</f>
        <v>43382</v>
      </c>
      <c r="G103" s="184"/>
      <c r="H103" s="184"/>
    </row>
    <row r="104" spans="2:8" ht="15" x14ac:dyDescent="0.25">
      <c r="B104" s="193"/>
      <c r="C104" s="194"/>
      <c r="D104" s="260"/>
      <c r="E104" s="195"/>
      <c r="F104" s="305"/>
      <c r="G104" s="184"/>
      <c r="H104" s="184"/>
    </row>
    <row r="105" spans="2:8" ht="15" x14ac:dyDescent="0.25">
      <c r="B105" s="193"/>
      <c r="C105" s="194"/>
      <c r="D105" s="260"/>
      <c r="E105" s="195"/>
      <c r="F105" s="305"/>
      <c r="G105" s="184"/>
      <c r="H105" s="184"/>
    </row>
    <row r="106" spans="2:8" ht="15" x14ac:dyDescent="0.25">
      <c r="B106" s="193"/>
      <c r="C106" s="194"/>
      <c r="D106" s="260"/>
      <c r="E106" s="195"/>
      <c r="F106" s="305"/>
      <c r="G106" s="184"/>
      <c r="H106" s="184"/>
    </row>
    <row r="107" spans="2:8" ht="15" x14ac:dyDescent="0.25">
      <c r="B107" s="193"/>
      <c r="C107" s="194"/>
      <c r="D107" s="260"/>
      <c r="E107" s="195"/>
      <c r="F107" s="305"/>
      <c r="G107" s="184"/>
      <c r="H107" s="184"/>
    </row>
    <row r="108" spans="2:8" ht="15" x14ac:dyDescent="0.25">
      <c r="B108" s="193"/>
      <c r="C108" s="194"/>
      <c r="D108" s="260"/>
      <c r="E108" s="195"/>
      <c r="F108" s="305"/>
      <c r="G108" s="184"/>
      <c r="H108" s="184"/>
    </row>
    <row r="109" spans="2:8" ht="15" x14ac:dyDescent="0.25">
      <c r="B109" s="196"/>
      <c r="C109" s="197"/>
      <c r="D109" s="261"/>
      <c r="E109" s="198"/>
      <c r="F109" s="306"/>
      <c r="G109" s="184"/>
      <c r="H109" s="184"/>
    </row>
    <row r="110" spans="2:8" x14ac:dyDescent="0.25">
      <c r="B110" s="199" t="s">
        <v>171</v>
      </c>
      <c r="C110" s="200"/>
      <c r="D110" s="262"/>
      <c r="E110" s="201"/>
      <c r="F110" s="202">
        <f>SUM(F10:F109)</f>
        <v>14090821</v>
      </c>
      <c r="G110" s="185"/>
      <c r="H110" s="317" t="str">
        <f>IF('Liste Pagesa'!AF110=F110,"ok","gabim")</f>
        <v>ok</v>
      </c>
    </row>
    <row r="111" spans="2:8" ht="15" x14ac:dyDescent="0.25">
      <c r="B111" s="203" t="str">
        <f>'Liste Pagesa'!B111</f>
        <v>Emer_Mbimer_101</v>
      </c>
      <c r="C111" s="204" t="s">
        <v>287</v>
      </c>
      <c r="D111" s="263">
        <f>VLOOKUP('Liste Pagesa'!$B111,llog_mbi_organike,2,FALSE)</f>
        <v>782337343</v>
      </c>
      <c r="E111" s="205" t="str">
        <f>VLOOKUP('Liste Pagesa'!$B111,llog_mbi_organike,3,FALSE)</f>
        <v>BANKA E BASHKUAR E SHQIPËRISË sh.a.</v>
      </c>
      <c r="F111" s="307">
        <f>VLOOKUP('Liste Pagesa'!$B111,llog_mbi_organike,48,FALSE)</f>
        <v>60265</v>
      </c>
      <c r="G111" s="184"/>
      <c r="H111" s="184"/>
    </row>
    <row r="112" spans="2:8" ht="15" x14ac:dyDescent="0.25">
      <c r="B112" s="193" t="str">
        <f>'Liste Pagesa'!B112</f>
        <v>Emer_Mbimer_102</v>
      </c>
      <c r="C112" s="194" t="s">
        <v>287</v>
      </c>
      <c r="D112" s="260">
        <f>VLOOKUP('Liste Pagesa'!$B112,llog_mbi_organike,2,FALSE)</f>
        <v>885984005</v>
      </c>
      <c r="E112" s="195" t="str">
        <f>VLOOKUP('Liste Pagesa'!$B112,llog_mbi_organike,3,FALSE)</f>
        <v>BANKA E PARË E INVESTIMEVE ALBANIA sh.a.</v>
      </c>
      <c r="F112" s="305">
        <f>VLOOKUP('Liste Pagesa'!$B112,llog_mbi_organike,48,FALSE)</f>
        <v>60538</v>
      </c>
      <c r="G112" s="184"/>
      <c r="H112" s="184"/>
    </row>
    <row r="113" spans="2:8" ht="15" x14ac:dyDescent="0.25">
      <c r="B113" s="193" t="str">
        <f>'Liste Pagesa'!B113</f>
        <v>Emer_Mbimer_103</v>
      </c>
      <c r="C113" s="194" t="s">
        <v>287</v>
      </c>
      <c r="D113" s="260">
        <f>VLOOKUP('Liste Pagesa'!$B113,llog_mbi_organike,2,FALSE)</f>
        <v>374101089</v>
      </c>
      <c r="E113" s="195" t="str">
        <f>VLOOKUP('Liste Pagesa'!$B113,llog_mbi_organike,3,FALSE)</f>
        <v>BANKA INTESA SANPAOLO ALBANIA sh.a.</v>
      </c>
      <c r="F113" s="305">
        <f>VLOOKUP('Liste Pagesa'!$B113,llog_mbi_organike,48,FALSE)</f>
        <v>60811</v>
      </c>
      <c r="G113" s="184"/>
      <c r="H113" s="184"/>
    </row>
    <row r="114" spans="2:8" ht="15" x14ac:dyDescent="0.25">
      <c r="B114" s="193" t="str">
        <f>'Liste Pagesa'!B114</f>
        <v>Emer_Mbimer_104</v>
      </c>
      <c r="C114" s="194" t="s">
        <v>287</v>
      </c>
      <c r="D114" s="260">
        <f>VLOOKUP('Liste Pagesa'!$B114,llog_mbi_organike,2,FALSE)</f>
        <v>265363894</v>
      </c>
      <c r="E114" s="195" t="str">
        <f>VLOOKUP('Liste Pagesa'!$B114,llog_mbi_organike,3,FALSE)</f>
        <v>BANKA KOMBËTARE TREGTARE sh.a.</v>
      </c>
      <c r="F114" s="305">
        <f>VLOOKUP('Liste Pagesa'!$B114,llog_mbi_organike,48,FALSE)</f>
        <v>61084</v>
      </c>
      <c r="G114" s="184"/>
      <c r="H114" s="184"/>
    </row>
    <row r="115" spans="2:8" ht="15" x14ac:dyDescent="0.25">
      <c r="B115" s="193" t="str">
        <f>'Liste Pagesa'!B115</f>
        <v>Emer_Mbimer_105</v>
      </c>
      <c r="C115" s="194" t="s">
        <v>287</v>
      </c>
      <c r="D115" s="260">
        <f>VLOOKUP('Liste Pagesa'!$B115,llog_mbi_organike,2,FALSE)</f>
        <v>184669966</v>
      </c>
      <c r="E115" s="195" t="str">
        <f>VLOOKUP('Liste Pagesa'!$B115,llog_mbi_organike,3,FALSE)</f>
        <v>BANKA OTP ALBANIA sh.a.</v>
      </c>
      <c r="F115" s="305">
        <f>VLOOKUP('Liste Pagesa'!$B115,llog_mbi_organike,48,FALSE)</f>
        <v>61356</v>
      </c>
      <c r="G115" s="184"/>
      <c r="H115" s="184"/>
    </row>
    <row r="116" spans="2:8" ht="15" x14ac:dyDescent="0.25">
      <c r="B116" s="193" t="str">
        <f>'Liste Pagesa'!B116</f>
        <v>Emer_Mbimer_106</v>
      </c>
      <c r="C116" s="194" t="s">
        <v>287</v>
      </c>
      <c r="D116" s="260">
        <f>VLOOKUP('Liste Pagesa'!$B116,llog_mbi_organike,2,FALSE)</f>
        <v>439006011</v>
      </c>
      <c r="E116" s="195" t="str">
        <f>VLOOKUP('Liste Pagesa'!$B116,llog_mbi_organike,3,FALSE)</f>
        <v>BANKA PROCREDIT sh.a.</v>
      </c>
      <c r="F116" s="305">
        <f>VLOOKUP('Liste Pagesa'!$B116,llog_mbi_organike,48,FALSE)</f>
        <v>61629</v>
      </c>
      <c r="G116" s="184"/>
      <c r="H116" s="184"/>
    </row>
    <row r="117" spans="2:8" ht="15" x14ac:dyDescent="0.25">
      <c r="B117" s="193" t="str">
        <f>'Liste Pagesa'!B117</f>
        <v>Emer_Mbimer_107</v>
      </c>
      <c r="C117" s="194" t="s">
        <v>287</v>
      </c>
      <c r="D117" s="260">
        <f>VLOOKUP('Liste Pagesa'!$B117,llog_mbi_organike,2,FALSE)</f>
        <v>810037746</v>
      </c>
      <c r="E117" s="195" t="str">
        <f>VLOOKUP('Liste Pagesa'!$B117,llog_mbi_organike,3,FALSE)</f>
        <v>BANKA RAIFFEISEN sh.a.</v>
      </c>
      <c r="F117" s="305">
        <f>VLOOKUP('Liste Pagesa'!$B117,llog_mbi_organike,48,FALSE)</f>
        <v>61902</v>
      </c>
      <c r="G117" s="184"/>
      <c r="H117" s="184"/>
    </row>
    <row r="118" spans="2:8" ht="15" x14ac:dyDescent="0.25">
      <c r="B118" s="193" t="str">
        <f>'Liste Pagesa'!B118</f>
        <v>Emer_Mbimer_108</v>
      </c>
      <c r="C118" s="194" t="s">
        <v>287</v>
      </c>
      <c r="D118" s="260">
        <f>VLOOKUP('Liste Pagesa'!$B118,llog_mbi_organike,2,FALSE)</f>
        <v>486564094</v>
      </c>
      <c r="E118" s="195" t="str">
        <f>VLOOKUP('Liste Pagesa'!$B118,llog_mbi_organike,3,FALSE)</f>
        <v>BANKA TIRANA sh.a.</v>
      </c>
      <c r="F118" s="305">
        <f>VLOOKUP('Liste Pagesa'!$B118,llog_mbi_organike,48,FALSE)</f>
        <v>62175</v>
      </c>
      <c r="G118" s="184"/>
      <c r="H118" s="184"/>
    </row>
    <row r="119" spans="2:8" ht="15" x14ac:dyDescent="0.25">
      <c r="B119" s="193" t="str">
        <f>'Liste Pagesa'!B119</f>
        <v>Emer_Mbimer_109</v>
      </c>
      <c r="C119" s="194" t="s">
        <v>287</v>
      </c>
      <c r="D119" s="260">
        <f>VLOOKUP('Liste Pagesa'!$B119,llog_mbi_organike,2,FALSE)</f>
        <v>417405528</v>
      </c>
      <c r="E119" s="195" t="str">
        <f>VLOOKUP('Liste Pagesa'!$B119,llog_mbi_organike,3,FALSE)</f>
        <v>BANKA UNION sh.a.</v>
      </c>
      <c r="F119" s="305">
        <f>VLOOKUP('Liste Pagesa'!$B119,llog_mbi_organike,48,FALSE)</f>
        <v>62448</v>
      </c>
      <c r="G119" s="184"/>
      <c r="H119" s="184"/>
    </row>
    <row r="120" spans="2:8" ht="15" x14ac:dyDescent="0.25">
      <c r="B120" s="193" t="str">
        <f>'Liste Pagesa'!B120</f>
        <v>Emer_Mbimer_110</v>
      </c>
      <c r="C120" s="194" t="s">
        <v>287</v>
      </c>
      <c r="D120" s="260">
        <f>VLOOKUP('Liste Pagesa'!$B120,llog_mbi_organike,2,FALSE)</f>
        <v>487366529</v>
      </c>
      <c r="E120" s="195" t="str">
        <f>VLOOKUP('Liste Pagesa'!$B120,llog_mbi_organike,3,FALSE)</f>
        <v>BANKA AMERIKANE E INVESTIMEVE sh.a.</v>
      </c>
      <c r="F120" s="305">
        <f>VLOOKUP('Liste Pagesa'!$B120,llog_mbi_organike,48,FALSE)</f>
        <v>62721</v>
      </c>
      <c r="G120" s="184"/>
      <c r="H120" s="184"/>
    </row>
    <row r="121" spans="2:8" x14ac:dyDescent="0.25">
      <c r="B121" s="193" t="str">
        <f>'Liste Pagesa'!B121</f>
        <v>Emer_Mbimer_111</v>
      </c>
      <c r="C121" s="194" t="s">
        <v>287</v>
      </c>
      <c r="D121" s="260">
        <f>VLOOKUP('Liste Pagesa'!$B121,llog_mbi_organike,2,FALSE)</f>
        <v>736380887</v>
      </c>
      <c r="E121" s="195" t="str">
        <f>VLOOKUP('Liste Pagesa'!$B121,llog_mbi_organike,3,FALSE)</f>
        <v>BANKA CREDINS sh.a.</v>
      </c>
      <c r="F121" s="305">
        <f>VLOOKUP('Liste Pagesa'!$B121,llog_mbi_organike,48,FALSE)</f>
        <v>43371</v>
      </c>
      <c r="G121" s="185"/>
      <c r="H121" s="184"/>
    </row>
    <row r="122" spans="2:8" ht="15" x14ac:dyDescent="0.25">
      <c r="B122" s="193" t="str">
        <f>'Liste Pagesa'!B122</f>
        <v>Emer_Mbimer_112</v>
      </c>
      <c r="C122" s="194" t="s">
        <v>287</v>
      </c>
      <c r="D122" s="260">
        <f>VLOOKUP('Liste Pagesa'!$B122,llog_mbi_organike,2,FALSE)</f>
        <v>521053788</v>
      </c>
      <c r="E122" s="195" t="str">
        <f>VLOOKUP('Liste Pagesa'!$B122,llog_mbi_organike,3,FALSE)</f>
        <v>BANKA UNION sh.a.</v>
      </c>
      <c r="F122" s="305">
        <f>VLOOKUP('Liste Pagesa'!$B122,llog_mbi_organike,48,FALSE)</f>
        <v>43762</v>
      </c>
      <c r="G122" s="184"/>
      <c r="H122" s="184"/>
    </row>
    <row r="123" spans="2:8" ht="15" x14ac:dyDescent="0.25">
      <c r="B123" s="193" t="str">
        <f>'Liste Pagesa'!B123</f>
        <v>Emer_Mbimer_113</v>
      </c>
      <c r="C123" s="194" t="s">
        <v>287</v>
      </c>
      <c r="D123" s="260">
        <f>VLOOKUP('Liste Pagesa'!$B123,llog_mbi_organike,2,FALSE)</f>
        <v>127338733</v>
      </c>
      <c r="E123" s="195" t="str">
        <f>VLOOKUP('Liste Pagesa'!$B123,llog_mbi_organike,3,FALSE)</f>
        <v>BANKA AMERIKANE E INVESTIMEVE sh.a.</v>
      </c>
      <c r="F123" s="305">
        <f>VLOOKUP('Liste Pagesa'!$B123,llog_mbi_organike,48,FALSE)</f>
        <v>44154</v>
      </c>
      <c r="G123" s="184"/>
      <c r="H123" s="184"/>
    </row>
    <row r="124" spans="2:8" ht="15" x14ac:dyDescent="0.25">
      <c r="B124" s="193" t="str">
        <f>'Liste Pagesa'!B124</f>
        <v>Emer_Mbimer_114</v>
      </c>
      <c r="C124" s="194" t="s">
        <v>287</v>
      </c>
      <c r="D124" s="260">
        <f>VLOOKUP('Liste Pagesa'!$B124,llog_mbi_organike,2,FALSE)</f>
        <v>197633557</v>
      </c>
      <c r="E124" s="195" t="str">
        <f>VLOOKUP('Liste Pagesa'!$B124,llog_mbi_organike,3,FALSE)</f>
        <v>BANKA CREDINS sh.a.</v>
      </c>
      <c r="F124" s="305">
        <f>VLOOKUP('Liste Pagesa'!$B124,llog_mbi_organike,48,FALSE)</f>
        <v>42574</v>
      </c>
      <c r="G124" s="184"/>
      <c r="H124" s="184"/>
    </row>
    <row r="125" spans="2:8" ht="15" x14ac:dyDescent="0.25">
      <c r="B125" s="193" t="str">
        <f>'Liste Pagesa'!B125</f>
        <v>Emer_Mbimer_115</v>
      </c>
      <c r="C125" s="194" t="s">
        <v>287</v>
      </c>
      <c r="D125" s="260">
        <f>VLOOKUP('Liste Pagesa'!$B125,llog_mbi_organike,2,FALSE)</f>
        <v>875569522</v>
      </c>
      <c r="E125" s="195" t="str">
        <f>VLOOKUP('Liste Pagesa'!$B125,llog_mbi_organike,3,FALSE)</f>
        <v>BANKA E BASHKUAR E SHQIPËRISË sh.a.</v>
      </c>
      <c r="F125" s="305">
        <f>VLOOKUP('Liste Pagesa'!$B125,llog_mbi_organike,48,FALSE)</f>
        <v>42909</v>
      </c>
      <c r="G125" s="184"/>
      <c r="H125" s="184"/>
    </row>
    <row r="126" spans="2:8" ht="15" x14ac:dyDescent="0.25">
      <c r="B126" s="193" t="str">
        <f>'Liste Pagesa'!B126</f>
        <v>Emer_Mbimer_116</v>
      </c>
      <c r="C126" s="194" t="s">
        <v>287</v>
      </c>
      <c r="D126" s="260">
        <f>VLOOKUP('Liste Pagesa'!$B126,llog_mbi_organike,2,FALSE)</f>
        <v>955368715</v>
      </c>
      <c r="E126" s="195" t="str">
        <f>VLOOKUP('Liste Pagesa'!$B126,llog_mbi_organike,3,FALSE)</f>
        <v>BANKA E PARË E INVESTIMEVE ALBANIA sh.a.</v>
      </c>
      <c r="F126" s="305">
        <f>VLOOKUP('Liste Pagesa'!$B126,llog_mbi_organike,48,FALSE)</f>
        <v>43243</v>
      </c>
      <c r="G126" s="184"/>
      <c r="H126" s="184"/>
    </row>
    <row r="127" spans="2:8" ht="15" x14ac:dyDescent="0.25">
      <c r="B127" s="193" t="str">
        <f>'Liste Pagesa'!B127</f>
        <v>Emer_Mbimer_117</v>
      </c>
      <c r="C127" s="194" t="s">
        <v>287</v>
      </c>
      <c r="D127" s="260">
        <f>VLOOKUP('Liste Pagesa'!$B127,llog_mbi_organike,2,FALSE)</f>
        <v>518346403</v>
      </c>
      <c r="E127" s="195" t="str">
        <f>VLOOKUP('Liste Pagesa'!$B127,llog_mbi_organike,3,FALSE)</f>
        <v>BANKA INTESA SANPAOLO ALBANIA sh.a.</v>
      </c>
      <c r="F127" s="305">
        <f>VLOOKUP('Liste Pagesa'!$B127,llog_mbi_organike,48,FALSE)</f>
        <v>43578</v>
      </c>
      <c r="G127" s="184"/>
      <c r="H127" s="184"/>
    </row>
    <row r="128" spans="2:8" ht="15" x14ac:dyDescent="0.25">
      <c r="B128" s="193" t="str">
        <f>'Liste Pagesa'!B128</f>
        <v>Emer_Mbimer_118</v>
      </c>
      <c r="C128" s="194" t="s">
        <v>287</v>
      </c>
      <c r="D128" s="260">
        <f>VLOOKUP('Liste Pagesa'!$B128,llog_mbi_organike,2,FALSE)</f>
        <v>568606104</v>
      </c>
      <c r="E128" s="195" t="str">
        <f>VLOOKUP('Liste Pagesa'!$B128,llog_mbi_organike,3,FALSE)</f>
        <v>BANKA KOMBËTARE TREGTARE sh.a.</v>
      </c>
      <c r="F128" s="305">
        <f>VLOOKUP('Liste Pagesa'!$B128,llog_mbi_organike,48,FALSE)</f>
        <v>43911</v>
      </c>
      <c r="G128" s="184"/>
      <c r="H128" s="184"/>
    </row>
    <row r="129" spans="2:8" ht="15" x14ac:dyDescent="0.25">
      <c r="B129" s="193" t="str">
        <f>'Liste Pagesa'!B129</f>
        <v>Emer_Mbimer_119</v>
      </c>
      <c r="C129" s="194" t="s">
        <v>287</v>
      </c>
      <c r="D129" s="260">
        <f>VLOOKUP('Liste Pagesa'!$B129,llog_mbi_organike,2,FALSE)</f>
        <v>963456151</v>
      </c>
      <c r="E129" s="195" t="str">
        <f>VLOOKUP('Liste Pagesa'!$B129,llog_mbi_organike,3,FALSE)</f>
        <v>BANKA E PARË E INVESTIMEVE ALBANIA sh.a.</v>
      </c>
      <c r="F129" s="305">
        <f>VLOOKUP('Liste Pagesa'!$B129,llog_mbi_organike,48,FALSE)</f>
        <v>44246</v>
      </c>
      <c r="G129" s="184"/>
      <c r="H129" s="184"/>
    </row>
    <row r="130" spans="2:8" ht="15" x14ac:dyDescent="0.25">
      <c r="B130" s="193" t="str">
        <f>'Liste Pagesa'!B130</f>
        <v>Emer_Mbimer_120</v>
      </c>
      <c r="C130" s="194" t="s">
        <v>287</v>
      </c>
      <c r="D130" s="260">
        <f>VLOOKUP('Liste Pagesa'!$B130,llog_mbi_organike,2,FALSE)</f>
        <v>457662531</v>
      </c>
      <c r="E130" s="195" t="str">
        <f>VLOOKUP('Liste Pagesa'!$B130,llog_mbi_organike,3,FALSE)</f>
        <v>BANKA INTESA SANPAOLO ALBANIA sh.a.</v>
      </c>
      <c r="F130" s="305">
        <f>VLOOKUP('Liste Pagesa'!$B130,llog_mbi_organike,48,FALSE)</f>
        <v>44580</v>
      </c>
      <c r="G130" s="184"/>
      <c r="H130" s="184"/>
    </row>
    <row r="131" spans="2:8" ht="16.5" thickBot="1" x14ac:dyDescent="0.3">
      <c r="B131" s="206" t="str">
        <f>'Liste Pagesa'!B131</f>
        <v>Totali i punonjësve me kontratë të përkohshme mbi organikë</v>
      </c>
      <c r="C131" s="207"/>
      <c r="D131" s="208"/>
      <c r="E131" s="208"/>
      <c r="F131" s="209">
        <f>SUM(F111:F130)</f>
        <v>1051257</v>
      </c>
      <c r="G131" s="185"/>
      <c r="H131" s="318" t="str">
        <f>IF('Liste Pagesa'!AF131=INFO_pagat!F131,"ok","gabim")</f>
        <v>ok</v>
      </c>
    </row>
    <row r="132" spans="2:8" ht="19.5" thickBot="1" x14ac:dyDescent="0.3">
      <c r="B132" s="210" t="str">
        <f>'Liste Pagesa'!B132</f>
        <v>Totali për të gjithë punonjësit</v>
      </c>
      <c r="C132" s="211"/>
      <c r="D132" s="212"/>
      <c r="E132" s="212"/>
      <c r="F132" s="320">
        <f>F110+F131</f>
        <v>15142078</v>
      </c>
      <c r="G132" s="185"/>
      <c r="H132" s="319" t="str">
        <f>IF('Liste Pagesa'!AF132=F132,"OK","gabim")</f>
        <v>OK</v>
      </c>
    </row>
    <row r="133" spans="2:8" x14ac:dyDescent="0.25">
      <c r="B133" s="181"/>
      <c r="C133" s="182"/>
      <c r="D133" s="181"/>
      <c r="E133" s="181"/>
      <c r="F133" s="181"/>
    </row>
    <row r="134" spans="2:8" x14ac:dyDescent="0.25">
      <c r="B134" s="181"/>
      <c r="C134" s="182"/>
      <c r="D134" s="181"/>
      <c r="E134" s="181"/>
      <c r="F134" s="181"/>
    </row>
    <row r="135" spans="2:8" x14ac:dyDescent="0.25">
      <c r="B135" s="181"/>
      <c r="C135" s="182"/>
      <c r="D135" s="181"/>
      <c r="E135" s="181"/>
      <c r="F135" s="181"/>
    </row>
  </sheetData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-0.249977111117893"/>
  </sheetPr>
  <dimension ref="A1:K33"/>
  <sheetViews>
    <sheetView showGridLines="0" zoomScaleNormal="100" workbookViewId="0">
      <selection activeCell="C5" sqref="C5"/>
    </sheetView>
  </sheetViews>
  <sheetFormatPr defaultRowHeight="15" x14ac:dyDescent="0.25"/>
  <cols>
    <col min="2" max="2" width="80.7109375" customWidth="1"/>
    <col min="3" max="3" width="16.7109375" customWidth="1"/>
    <col min="4" max="4" width="32.7109375" style="20" customWidth="1"/>
    <col min="5" max="5" width="29.140625" customWidth="1"/>
    <col min="6" max="6" width="21.7109375" customWidth="1"/>
    <col min="7" max="7" width="9.5703125" bestFit="1" customWidth="1"/>
    <col min="11" max="11" width="64.28515625" customWidth="1"/>
  </cols>
  <sheetData>
    <row r="1" spans="1:11" ht="48" customHeight="1" thickTop="1" thickBot="1" x14ac:dyDescent="0.4">
      <c r="A1" s="226"/>
      <c r="B1" s="233" t="s">
        <v>306</v>
      </c>
      <c r="C1" s="234" t="s">
        <v>304</v>
      </c>
      <c r="D1" s="235" t="s">
        <v>305</v>
      </c>
      <c r="E1" s="240"/>
      <c r="K1" s="321" t="s">
        <v>341</v>
      </c>
    </row>
    <row r="2" spans="1:11" ht="24" customHeight="1" thickTop="1" thickBot="1" x14ac:dyDescent="0.35">
      <c r="A2" s="223"/>
      <c r="B2" s="224" t="s">
        <v>290</v>
      </c>
      <c r="C2" s="225">
        <v>0.8</v>
      </c>
      <c r="D2" s="230" t="s">
        <v>77</v>
      </c>
      <c r="E2" s="240"/>
      <c r="K2" s="257" t="s">
        <v>139</v>
      </c>
    </row>
    <row r="3" spans="1:11" ht="24" customHeight="1" thickTop="1" thickBot="1" x14ac:dyDescent="0.35">
      <c r="A3" s="216"/>
      <c r="B3" s="219" t="s">
        <v>291</v>
      </c>
      <c r="C3" s="217">
        <v>1.7000000000000001E-2</v>
      </c>
      <c r="D3" s="231" t="s">
        <v>70</v>
      </c>
      <c r="E3" s="240"/>
      <c r="F3" s="259"/>
      <c r="K3" s="257" t="s">
        <v>140</v>
      </c>
    </row>
    <row r="4" spans="1:11" ht="24" customHeight="1" thickTop="1" thickBot="1" x14ac:dyDescent="0.35">
      <c r="A4" s="216"/>
      <c r="B4" s="219" t="s">
        <v>292</v>
      </c>
      <c r="C4" s="217">
        <v>9.5000000000000001E-2</v>
      </c>
      <c r="D4" s="231" t="s">
        <v>71</v>
      </c>
      <c r="E4" s="240"/>
      <c r="K4" s="257" t="s">
        <v>327</v>
      </c>
    </row>
    <row r="5" spans="1:11" ht="24" customHeight="1" thickTop="1" thickBot="1" x14ac:dyDescent="0.35">
      <c r="A5" s="216"/>
      <c r="B5" s="219" t="s">
        <v>293</v>
      </c>
      <c r="C5" s="651">
        <v>40000</v>
      </c>
      <c r="D5" s="231" t="s">
        <v>72</v>
      </c>
      <c r="E5" s="652" t="s">
        <v>534</v>
      </c>
      <c r="F5" s="256"/>
      <c r="G5" s="256"/>
      <c r="K5" s="257" t="s">
        <v>330</v>
      </c>
    </row>
    <row r="6" spans="1:11" ht="24" customHeight="1" thickTop="1" thickBot="1" x14ac:dyDescent="0.35">
      <c r="A6" s="683"/>
      <c r="B6" s="684" t="s">
        <v>294</v>
      </c>
      <c r="C6" s="685">
        <v>176421</v>
      </c>
      <c r="D6" s="686" t="s">
        <v>73</v>
      </c>
      <c r="E6" s="652" t="s">
        <v>535</v>
      </c>
      <c r="F6" s="256"/>
      <c r="G6" s="268"/>
      <c r="K6" s="257" t="s">
        <v>137</v>
      </c>
    </row>
    <row r="7" spans="1:11" ht="24" customHeight="1" thickTop="1" thickBot="1" x14ac:dyDescent="0.35">
      <c r="A7" s="687"/>
      <c r="B7" s="688" t="s">
        <v>298</v>
      </c>
      <c r="C7" s="689">
        <v>50000</v>
      </c>
      <c r="D7" s="690" t="s">
        <v>297</v>
      </c>
      <c r="E7" s="241" t="s">
        <v>533</v>
      </c>
      <c r="F7" s="272"/>
      <c r="G7" s="272"/>
      <c r="K7" s="257" t="s">
        <v>328</v>
      </c>
    </row>
    <row r="8" spans="1:11" ht="24" customHeight="1" thickTop="1" thickBot="1" x14ac:dyDescent="0.35">
      <c r="A8" s="223"/>
      <c r="B8" s="224" t="s">
        <v>562</v>
      </c>
      <c r="C8" s="671">
        <v>35000</v>
      </c>
      <c r="D8" s="230" t="s">
        <v>540</v>
      </c>
      <c r="E8" s="241" t="s">
        <v>554</v>
      </c>
      <c r="K8" s="257" t="s">
        <v>329</v>
      </c>
    </row>
    <row r="9" spans="1:11" ht="24" customHeight="1" thickTop="1" thickBot="1" x14ac:dyDescent="0.35">
      <c r="A9" s="216"/>
      <c r="B9" s="219" t="s">
        <v>542</v>
      </c>
      <c r="C9" s="217">
        <v>0.13</v>
      </c>
      <c r="D9" s="231" t="s">
        <v>75</v>
      </c>
      <c r="E9" s="241" t="s">
        <v>537</v>
      </c>
      <c r="K9" s="257" t="s">
        <v>138</v>
      </c>
    </row>
    <row r="10" spans="1:11" ht="24" customHeight="1" thickTop="1" thickBot="1" x14ac:dyDescent="0.35">
      <c r="A10" s="683"/>
      <c r="B10" s="684" t="s">
        <v>536</v>
      </c>
      <c r="C10" s="692">
        <v>60000</v>
      </c>
      <c r="D10" s="686" t="s">
        <v>541</v>
      </c>
      <c r="E10" s="241" t="s">
        <v>538</v>
      </c>
      <c r="K10" s="257" t="s">
        <v>135</v>
      </c>
    </row>
    <row r="11" spans="1:11" ht="24" customHeight="1" thickTop="1" thickBot="1" x14ac:dyDescent="0.35">
      <c r="A11" s="223"/>
      <c r="B11" s="224" t="s">
        <v>539</v>
      </c>
      <c r="C11" s="225">
        <v>0.13</v>
      </c>
      <c r="D11" s="230" t="s">
        <v>75</v>
      </c>
      <c r="E11" s="240"/>
      <c r="K11" s="257" t="s">
        <v>136</v>
      </c>
    </row>
    <row r="12" spans="1:11" ht="24" customHeight="1" thickTop="1" thickBot="1" x14ac:dyDescent="0.35">
      <c r="B12" s="219" t="s">
        <v>555</v>
      </c>
      <c r="C12" s="218">
        <v>30000</v>
      </c>
      <c r="D12" s="231" t="s">
        <v>296</v>
      </c>
      <c r="E12" s="267"/>
      <c r="F12" s="269"/>
      <c r="G12" s="269"/>
      <c r="K12" s="257" t="s">
        <v>141</v>
      </c>
    </row>
    <row r="13" spans="1:11" ht="24" customHeight="1" thickTop="1" thickBot="1" x14ac:dyDescent="0.35">
      <c r="A13" s="683"/>
      <c r="B13" s="684" t="s">
        <v>299</v>
      </c>
      <c r="C13" s="692">
        <v>200000</v>
      </c>
      <c r="D13" s="686"/>
      <c r="E13" s="240"/>
      <c r="K13" s="257"/>
    </row>
    <row r="14" spans="1:11" ht="24" customHeight="1" thickTop="1" thickBot="1" x14ac:dyDescent="0.35">
      <c r="A14" s="223"/>
      <c r="B14" s="224" t="s">
        <v>300</v>
      </c>
      <c r="C14" s="225">
        <v>0.23</v>
      </c>
      <c r="D14" s="230" t="s">
        <v>76</v>
      </c>
      <c r="E14" s="240"/>
      <c r="K14" s="257"/>
    </row>
    <row r="15" spans="1:11" ht="24" customHeight="1" thickTop="1" thickBot="1" x14ac:dyDescent="0.35">
      <c r="A15" s="216"/>
      <c r="B15" s="219" t="s">
        <v>301</v>
      </c>
      <c r="C15" s="218">
        <v>200000</v>
      </c>
      <c r="D15" s="231" t="s">
        <v>295</v>
      </c>
      <c r="E15" s="271"/>
      <c r="F15" s="270"/>
      <c r="K15" s="257"/>
    </row>
    <row r="16" spans="1:11" ht="24" customHeight="1" thickTop="1" thickBot="1" x14ac:dyDescent="0.35">
      <c r="A16" s="227"/>
      <c r="B16" s="228" t="s">
        <v>302</v>
      </c>
      <c r="C16" s="229">
        <f>(paga_200mije-paga_35mije)*tatimi_13</f>
        <v>21450</v>
      </c>
      <c r="D16" s="232" t="s">
        <v>303</v>
      </c>
      <c r="E16" s="271"/>
      <c r="F16" s="270"/>
      <c r="K16" s="257"/>
    </row>
    <row r="17" spans="1:11" ht="24" customHeight="1" thickBot="1" x14ac:dyDescent="0.3">
      <c r="K17" s="258"/>
    </row>
    <row r="18" spans="1:11" ht="24" customHeight="1" thickBot="1" x14ac:dyDescent="0.3">
      <c r="A18" s="221"/>
      <c r="B18" s="221"/>
      <c r="C18" s="221"/>
      <c r="D18" s="222"/>
      <c r="K18" s="220"/>
    </row>
    <row r="19" spans="1:11" ht="24" customHeight="1" x14ac:dyDescent="0.3">
      <c r="A19" s="19"/>
      <c r="B19" s="19" t="s">
        <v>125</v>
      </c>
      <c r="C19" s="24">
        <v>425000</v>
      </c>
      <c r="D19" s="23" t="s">
        <v>126</v>
      </c>
      <c r="K19" s="220"/>
    </row>
    <row r="20" spans="1:11" ht="24" customHeight="1" x14ac:dyDescent="0.25">
      <c r="K20" s="220"/>
    </row>
    <row r="21" spans="1:11" ht="24" customHeight="1" x14ac:dyDescent="0.25">
      <c r="K21" s="220"/>
    </row>
    <row r="22" spans="1:11" ht="24" customHeight="1" x14ac:dyDescent="0.25">
      <c r="K22" s="220"/>
    </row>
    <row r="23" spans="1:11" ht="24" customHeight="1" x14ac:dyDescent="0.25">
      <c r="K23" s="220"/>
    </row>
    <row r="24" spans="1:11" ht="24" customHeight="1" x14ac:dyDescent="0.25">
      <c r="K24" s="220"/>
    </row>
    <row r="25" spans="1:11" ht="24" customHeight="1" x14ac:dyDescent="0.25">
      <c r="K25" s="220"/>
    </row>
    <row r="26" spans="1:11" ht="24" customHeight="1" x14ac:dyDescent="0.25">
      <c r="K26" s="220"/>
    </row>
    <row r="27" spans="1:11" ht="24" customHeight="1" x14ac:dyDescent="0.25">
      <c r="K27" s="220"/>
    </row>
    <row r="28" spans="1:11" ht="24" customHeight="1" x14ac:dyDescent="0.25">
      <c r="K28" s="220"/>
    </row>
    <row r="29" spans="1:11" ht="15.75" x14ac:dyDescent="0.25">
      <c r="K29" s="220"/>
    </row>
    <row r="30" spans="1:11" ht="15.75" x14ac:dyDescent="0.25">
      <c r="K30" s="220"/>
    </row>
    <row r="31" spans="1:11" ht="15.75" x14ac:dyDescent="0.25">
      <c r="K31" s="220"/>
    </row>
    <row r="32" spans="1:11" ht="15.75" x14ac:dyDescent="0.25">
      <c r="K32" s="220"/>
    </row>
    <row r="33" spans="11:11" ht="15.75" x14ac:dyDescent="0.25">
      <c r="K33" s="220"/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W142"/>
  <sheetViews>
    <sheetView showGridLines="0" topLeftCell="A36" zoomScaleNormal="100" workbookViewId="0">
      <selection activeCell="G59" sqref="G59"/>
    </sheetView>
  </sheetViews>
  <sheetFormatPr defaultColWidth="9.140625" defaultRowHeight="15.75" x14ac:dyDescent="0.25"/>
  <cols>
    <col min="1" max="1" width="8.7109375" style="1" customWidth="1"/>
    <col min="2" max="2" width="32.7109375" style="1" customWidth="1"/>
    <col min="3" max="3" width="64.7109375" style="1" customWidth="1"/>
    <col min="4" max="4" width="16.7109375" style="1" customWidth="1"/>
    <col min="5" max="5" width="20.7109375" style="49" customWidth="1"/>
    <col min="6" max="7" width="16.7109375" style="49" customWidth="1"/>
    <col min="8" max="18" width="16.7109375" style="1" customWidth="1"/>
    <col min="19" max="16384" width="9.140625" style="1"/>
  </cols>
  <sheetData>
    <row r="1" spans="1:23" ht="32.1" customHeight="1" x14ac:dyDescent="0.25">
      <c r="A1" s="274" t="s">
        <v>334</v>
      </c>
      <c r="B1" s="250"/>
      <c r="C1" s="273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</row>
    <row r="2" spans="1:23" ht="32.1" customHeight="1" x14ac:dyDescent="0.25">
      <c r="A2" s="707"/>
      <c r="B2" s="707"/>
      <c r="E2" s="1"/>
      <c r="F2" s="1"/>
      <c r="G2" s="1"/>
    </row>
    <row r="3" spans="1:23" ht="48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</row>
    <row r="4" spans="1:23" ht="24" customHeigh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</row>
    <row r="5" spans="1:23" ht="24" customHeight="1" x14ac:dyDescent="0.35">
      <c r="B5" s="4"/>
      <c r="E5" s="1"/>
      <c r="I5" s="93"/>
      <c r="J5" s="93"/>
      <c r="K5" s="93"/>
      <c r="L5" s="93"/>
      <c r="N5" s="93"/>
      <c r="O5" s="93"/>
      <c r="P5" s="93"/>
      <c r="Q5" s="93"/>
      <c r="R5" s="93"/>
      <c r="S5" s="3"/>
      <c r="T5" s="3"/>
      <c r="U5" s="3"/>
    </row>
    <row r="6" spans="1:23" ht="40.5" customHeight="1" x14ac:dyDescent="0.35">
      <c r="A6" s="4"/>
      <c r="B6" s="4"/>
      <c r="C6" s="5"/>
      <c r="D6" s="5"/>
      <c r="E6" s="50"/>
      <c r="F6" s="50"/>
      <c r="G6" s="296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23" ht="127.5" customHeight="1" thickBot="1" x14ac:dyDescent="0.3">
      <c r="A7" s="213" t="s">
        <v>20</v>
      </c>
      <c r="B7" s="213" t="s">
        <v>0</v>
      </c>
      <c r="C7" s="213" t="s">
        <v>1</v>
      </c>
      <c r="D7" s="213" t="s">
        <v>397</v>
      </c>
      <c r="E7" s="213" t="s">
        <v>81</v>
      </c>
      <c r="F7" s="213" t="s">
        <v>124</v>
      </c>
      <c r="G7" s="213" t="s">
        <v>82</v>
      </c>
      <c r="H7" s="213" t="s">
        <v>69</v>
      </c>
      <c r="I7" s="55" t="s">
        <v>4</v>
      </c>
      <c r="J7" s="55" t="s">
        <v>55</v>
      </c>
      <c r="K7" s="55" t="s">
        <v>5</v>
      </c>
      <c r="L7" s="55" t="s">
        <v>6</v>
      </c>
      <c r="M7" s="55" t="s">
        <v>56</v>
      </c>
      <c r="N7" s="55" t="s">
        <v>56</v>
      </c>
      <c r="O7" s="55" t="s">
        <v>7</v>
      </c>
      <c r="P7" s="55" t="s">
        <v>57</v>
      </c>
      <c r="Q7" s="55" t="s">
        <v>58</v>
      </c>
      <c r="R7" s="55" t="s">
        <v>59</v>
      </c>
    </row>
    <row r="8" spans="1:23" s="11" customFormat="1" ht="14.1" customHeight="1" thickBot="1" x14ac:dyDescent="0.3">
      <c r="A8" s="214" t="s">
        <v>22</v>
      </c>
      <c r="B8" s="214" t="s">
        <v>23</v>
      </c>
      <c r="C8" s="214" t="s">
        <v>24</v>
      </c>
      <c r="D8" s="214" t="s">
        <v>25</v>
      </c>
      <c r="E8" s="214" t="s">
        <v>89</v>
      </c>
      <c r="F8" s="214" t="s">
        <v>123</v>
      </c>
      <c r="G8" s="214" t="s">
        <v>89</v>
      </c>
      <c r="H8" s="214" t="s">
        <v>89</v>
      </c>
      <c r="I8" s="56" t="s">
        <v>31</v>
      </c>
      <c r="J8" s="56" t="s">
        <v>32</v>
      </c>
      <c r="K8" s="56" t="s">
        <v>33</v>
      </c>
      <c r="L8" s="56" t="s">
        <v>34</v>
      </c>
      <c r="M8" s="73"/>
      <c r="N8" s="56" t="s">
        <v>35</v>
      </c>
      <c r="O8" s="56" t="s">
        <v>36</v>
      </c>
      <c r="P8" s="56" t="s">
        <v>37</v>
      </c>
      <c r="Q8" s="56" t="s">
        <v>38</v>
      </c>
      <c r="R8" s="56" t="s">
        <v>39</v>
      </c>
    </row>
    <row r="9" spans="1:23" s="11" customFormat="1" ht="14.1" customHeight="1" x14ac:dyDescent="0.25"/>
    <row r="10" spans="1:23" ht="32.1" customHeight="1" thickBot="1" x14ac:dyDescent="0.4">
      <c r="A10" s="329"/>
      <c r="B10" s="461" t="s">
        <v>120</v>
      </c>
      <c r="C10" s="323"/>
      <c r="D10" s="323"/>
      <c r="E10" s="323"/>
      <c r="F10" s="323"/>
      <c r="G10" s="330"/>
      <c r="H10" s="323"/>
      <c r="I10" s="323"/>
      <c r="J10" s="323"/>
      <c r="K10" s="323"/>
      <c r="L10" s="323"/>
      <c r="M10" s="323"/>
      <c r="N10" s="323"/>
      <c r="O10" s="323"/>
      <c r="P10" s="323"/>
      <c r="Q10" s="323"/>
      <c r="R10" s="323"/>
    </row>
    <row r="11" spans="1:23" ht="24" customHeight="1" thickBot="1" x14ac:dyDescent="0.3">
      <c r="A11" s="356">
        <v>1</v>
      </c>
      <c r="B11" s="357" t="s">
        <v>176</v>
      </c>
      <c r="C11" s="357" t="s">
        <v>121</v>
      </c>
      <c r="D11" s="353"/>
      <c r="E11" s="354"/>
      <c r="F11" s="355">
        <v>1</v>
      </c>
      <c r="G11" s="698">
        <v>425000</v>
      </c>
    </row>
    <row r="12" spans="1:23" ht="15.95" customHeight="1" x14ac:dyDescent="0.25">
      <c r="A12" s="329"/>
      <c r="B12" s="323"/>
      <c r="C12" s="462"/>
      <c r="D12" s="333"/>
      <c r="E12" s="334"/>
      <c r="F12" s="335"/>
      <c r="G12" s="336"/>
    </row>
    <row r="13" spans="1:23" ht="32.1" customHeight="1" thickBot="1" x14ac:dyDescent="0.4">
      <c r="A13" s="393" t="s">
        <v>128</v>
      </c>
      <c r="B13" s="394"/>
      <c r="C13" s="463"/>
      <c r="D13" s="395"/>
      <c r="E13" s="396"/>
      <c r="F13" s="397"/>
      <c r="G13" s="398"/>
    </row>
    <row r="14" spans="1:23" ht="20.100000000000001" customHeight="1" x14ac:dyDescent="0.25">
      <c r="A14" s="338">
        <v>2</v>
      </c>
      <c r="B14" s="542" t="s">
        <v>177</v>
      </c>
      <c r="C14" s="458" t="s">
        <v>122</v>
      </c>
      <c r="D14" s="344"/>
      <c r="E14" s="340"/>
      <c r="F14" s="331">
        <v>0.92500000000000004</v>
      </c>
      <c r="G14" s="693">
        <v>393125</v>
      </c>
    </row>
    <row r="15" spans="1:23" ht="20.100000000000001" customHeight="1" x14ac:dyDescent="0.25">
      <c r="A15" s="348">
        <v>3</v>
      </c>
      <c r="B15" s="544" t="s">
        <v>178</v>
      </c>
      <c r="C15" s="459" t="s">
        <v>127</v>
      </c>
      <c r="D15" s="352"/>
      <c r="E15" s="349"/>
      <c r="F15" s="332">
        <v>0.92500000000000004</v>
      </c>
      <c r="G15" s="693">
        <v>393125</v>
      </c>
    </row>
    <row r="16" spans="1:23" ht="15.95" customHeight="1" x14ac:dyDescent="0.25">
      <c r="A16" s="329"/>
      <c r="B16" s="372"/>
      <c r="C16" s="464"/>
      <c r="D16" s="333"/>
      <c r="E16" s="334"/>
      <c r="F16" s="335"/>
      <c r="G16" s="336"/>
    </row>
    <row r="17" spans="1:7" ht="32.1" customHeight="1" thickBot="1" x14ac:dyDescent="0.4">
      <c r="A17" s="393" t="s">
        <v>129</v>
      </c>
      <c r="B17" s="457"/>
      <c r="C17" s="465"/>
      <c r="D17" s="395"/>
      <c r="E17" s="396"/>
      <c r="F17" s="397"/>
      <c r="G17" s="398"/>
    </row>
    <row r="18" spans="1:7" ht="20.100000000000001" customHeight="1" x14ac:dyDescent="0.25">
      <c r="A18" s="342">
        <v>4</v>
      </c>
      <c r="B18" s="542" t="s">
        <v>179</v>
      </c>
      <c r="C18" s="458" t="s">
        <v>346</v>
      </c>
      <c r="D18" s="344"/>
      <c r="E18" s="340"/>
      <c r="F18" s="331">
        <v>0.77500000000000002</v>
      </c>
      <c r="G18" s="693">
        <v>329375</v>
      </c>
    </row>
    <row r="19" spans="1:7" ht="20.100000000000001" customHeight="1" x14ac:dyDescent="0.25">
      <c r="A19" s="350">
        <v>5</v>
      </c>
      <c r="B19" s="544" t="s">
        <v>180</v>
      </c>
      <c r="C19" s="459" t="s">
        <v>347</v>
      </c>
      <c r="D19" s="352"/>
      <c r="E19" s="349"/>
      <c r="F19" s="332">
        <v>0.77500000000000002</v>
      </c>
      <c r="G19" s="693">
        <v>329375</v>
      </c>
    </row>
    <row r="20" spans="1:7" ht="15.95" customHeight="1" x14ac:dyDescent="0.25">
      <c r="A20" s="329"/>
      <c r="B20" s="372"/>
      <c r="C20" s="464"/>
      <c r="D20" s="333"/>
      <c r="E20" s="334"/>
      <c r="F20" s="335"/>
      <c r="G20" s="336"/>
    </row>
    <row r="21" spans="1:7" ht="32.1" customHeight="1" thickBot="1" x14ac:dyDescent="0.4">
      <c r="A21" s="393" t="s">
        <v>130</v>
      </c>
      <c r="B21" s="457"/>
      <c r="C21" s="465"/>
      <c r="D21" s="395"/>
      <c r="E21" s="396"/>
      <c r="F21" s="397"/>
      <c r="G21" s="398"/>
    </row>
    <row r="22" spans="1:7" ht="20.100000000000001" customHeight="1" x14ac:dyDescent="0.25">
      <c r="A22" s="338">
        <v>6</v>
      </c>
      <c r="B22" s="542" t="s">
        <v>181</v>
      </c>
      <c r="C22" s="458" t="s">
        <v>342</v>
      </c>
      <c r="D22" s="339"/>
      <c r="E22" s="340"/>
      <c r="F22" s="331">
        <v>0.75</v>
      </c>
      <c r="G22" s="693">
        <v>318750</v>
      </c>
    </row>
    <row r="23" spans="1:7" ht="15.95" customHeight="1" x14ac:dyDescent="0.25">
      <c r="A23" s="329"/>
      <c r="B23" s="372"/>
      <c r="C23" s="464"/>
      <c r="D23" s="333"/>
      <c r="E23" s="334"/>
      <c r="F23" s="335"/>
      <c r="G23" s="336"/>
    </row>
    <row r="24" spans="1:7" ht="32.1" customHeight="1" thickBot="1" x14ac:dyDescent="0.4">
      <c r="A24" s="393" t="s">
        <v>131</v>
      </c>
      <c r="B24" s="457"/>
      <c r="C24" s="465"/>
      <c r="D24" s="395"/>
      <c r="E24" s="396"/>
      <c r="F24" s="397"/>
      <c r="G24" s="398"/>
    </row>
    <row r="25" spans="1:7" ht="20.100000000000001" customHeight="1" x14ac:dyDescent="0.25">
      <c r="A25" s="32">
        <v>7</v>
      </c>
      <c r="B25" s="542" t="s">
        <v>182</v>
      </c>
      <c r="C25" s="458" t="s">
        <v>343</v>
      </c>
      <c r="D25" s="34"/>
      <c r="E25" s="84"/>
      <c r="F25" s="331">
        <v>0.73</v>
      </c>
      <c r="G25" s="693">
        <v>310250</v>
      </c>
    </row>
    <row r="26" spans="1:7" ht="15.95" customHeight="1" x14ac:dyDescent="0.25">
      <c r="A26" s="329"/>
      <c r="B26" s="372"/>
      <c r="C26" s="464"/>
      <c r="D26" s="333"/>
      <c r="E26" s="334"/>
      <c r="F26" s="335"/>
      <c r="G26" s="336"/>
    </row>
    <row r="27" spans="1:7" ht="32.1" customHeight="1" thickBot="1" x14ac:dyDescent="0.4">
      <c r="A27" s="393" t="s">
        <v>132</v>
      </c>
      <c r="B27" s="457"/>
      <c r="C27" s="465"/>
      <c r="D27" s="395"/>
      <c r="E27" s="396"/>
      <c r="F27" s="397"/>
      <c r="G27" s="398"/>
    </row>
    <row r="28" spans="1:7" ht="20.100000000000001" customHeight="1" x14ac:dyDescent="0.25">
      <c r="A28" s="32">
        <v>8</v>
      </c>
      <c r="B28" s="542" t="s">
        <v>183</v>
      </c>
      <c r="C28" s="458" t="s">
        <v>348</v>
      </c>
      <c r="D28" s="34"/>
      <c r="E28" s="84"/>
      <c r="F28" s="331">
        <v>0.7</v>
      </c>
      <c r="G28" s="693">
        <v>297500</v>
      </c>
    </row>
    <row r="29" spans="1:7" ht="15.95" customHeight="1" x14ac:dyDescent="0.25">
      <c r="A29" s="329"/>
      <c r="B29" s="372"/>
      <c r="C29" s="464"/>
      <c r="D29" s="333"/>
      <c r="E29" s="334"/>
      <c r="F29" s="335"/>
      <c r="G29" s="336"/>
    </row>
    <row r="30" spans="1:7" ht="32.1" customHeight="1" thickBot="1" x14ac:dyDescent="0.4">
      <c r="A30" s="393" t="s">
        <v>133</v>
      </c>
      <c r="B30" s="457"/>
      <c r="C30" s="465"/>
      <c r="D30" s="395"/>
      <c r="E30" s="396"/>
      <c r="F30" s="397"/>
      <c r="G30" s="398"/>
    </row>
    <row r="31" spans="1:7" ht="20.100000000000001" customHeight="1" x14ac:dyDescent="0.25">
      <c r="A31" s="32">
        <v>9</v>
      </c>
      <c r="B31" s="542" t="s">
        <v>184</v>
      </c>
      <c r="C31" s="458" t="s">
        <v>349</v>
      </c>
      <c r="D31" s="34"/>
      <c r="E31" s="84"/>
      <c r="F31" s="331">
        <v>0.6</v>
      </c>
      <c r="G31" s="693">
        <v>255000</v>
      </c>
    </row>
    <row r="32" spans="1:7" ht="20.100000000000001" customHeight="1" x14ac:dyDescent="0.25">
      <c r="A32" s="21">
        <v>10</v>
      </c>
      <c r="B32" s="544" t="s">
        <v>185</v>
      </c>
      <c r="C32" s="459" t="s">
        <v>350</v>
      </c>
      <c r="D32" s="22"/>
      <c r="E32" s="53"/>
      <c r="F32" s="331">
        <v>0.6</v>
      </c>
      <c r="G32" s="693">
        <v>255000</v>
      </c>
    </row>
    <row r="33" spans="1:18" ht="20.100000000000001" customHeight="1" x14ac:dyDescent="0.25">
      <c r="A33" s="21">
        <v>11</v>
      </c>
      <c r="B33" s="544" t="s">
        <v>186</v>
      </c>
      <c r="C33" s="459" t="s">
        <v>351</v>
      </c>
      <c r="D33" s="22"/>
      <c r="E33" s="53"/>
      <c r="F33" s="331">
        <v>0.6</v>
      </c>
      <c r="G33" s="693">
        <v>255000</v>
      </c>
    </row>
    <row r="34" spans="1:18" ht="20.100000000000001" customHeight="1" x14ac:dyDescent="0.25">
      <c r="A34" s="32">
        <v>12</v>
      </c>
      <c r="B34" s="544" t="s">
        <v>187</v>
      </c>
      <c r="C34" s="459" t="s">
        <v>352</v>
      </c>
      <c r="D34" s="22"/>
      <c r="E34" s="53"/>
      <c r="F34" s="331">
        <v>0.6</v>
      </c>
      <c r="G34" s="693">
        <v>255000</v>
      </c>
    </row>
    <row r="35" spans="1:18" ht="20.100000000000001" customHeight="1" x14ac:dyDescent="0.25">
      <c r="A35" s="21">
        <v>13</v>
      </c>
      <c r="B35" s="544" t="s">
        <v>188</v>
      </c>
      <c r="C35" s="459" t="s">
        <v>353</v>
      </c>
      <c r="D35" s="22"/>
      <c r="E35" s="53"/>
      <c r="F35" s="331">
        <v>0.6</v>
      </c>
      <c r="G35" s="693">
        <v>255000</v>
      </c>
    </row>
    <row r="36" spans="1:18" ht="20.100000000000001" customHeight="1" x14ac:dyDescent="0.25">
      <c r="A36" s="21">
        <v>14</v>
      </c>
      <c r="B36" s="544" t="s">
        <v>189</v>
      </c>
      <c r="C36" s="459" t="s">
        <v>354</v>
      </c>
      <c r="D36" s="22"/>
      <c r="E36" s="53"/>
      <c r="F36" s="331">
        <v>0.6</v>
      </c>
      <c r="G36" s="693">
        <v>255000</v>
      </c>
    </row>
    <row r="37" spans="1:18" ht="20.100000000000001" customHeight="1" x14ac:dyDescent="0.25">
      <c r="A37" s="32">
        <v>15</v>
      </c>
      <c r="B37" s="544" t="s">
        <v>190</v>
      </c>
      <c r="C37" s="459" t="s">
        <v>355</v>
      </c>
      <c r="D37" s="22"/>
      <c r="E37" s="53"/>
      <c r="F37" s="331">
        <v>0.6</v>
      </c>
      <c r="G37" s="693">
        <v>255000</v>
      </c>
    </row>
    <row r="38" spans="1:18" ht="20.100000000000001" customHeight="1" x14ac:dyDescent="0.25">
      <c r="A38" s="21">
        <v>16</v>
      </c>
      <c r="B38" s="544" t="s">
        <v>191</v>
      </c>
      <c r="C38" s="459" t="s">
        <v>356</v>
      </c>
      <c r="D38" s="22"/>
      <c r="E38" s="53"/>
      <c r="F38" s="331">
        <v>0.6</v>
      </c>
      <c r="G38" s="693">
        <v>255000</v>
      </c>
    </row>
    <row r="39" spans="1:18" ht="20.100000000000001" customHeight="1" x14ac:dyDescent="0.25">
      <c r="A39" s="21">
        <v>17</v>
      </c>
      <c r="B39" s="544" t="s">
        <v>192</v>
      </c>
      <c r="C39" s="459" t="s">
        <v>357</v>
      </c>
      <c r="D39" s="22"/>
      <c r="E39" s="53"/>
      <c r="F39" s="331">
        <v>0.6</v>
      </c>
      <c r="G39" s="693">
        <v>255000</v>
      </c>
    </row>
    <row r="40" spans="1:18" ht="15.95" customHeight="1" x14ac:dyDescent="0.25">
      <c r="A40" s="329"/>
      <c r="B40" s="372"/>
      <c r="C40" s="464"/>
      <c r="D40" s="333"/>
      <c r="E40" s="334"/>
      <c r="F40" s="335"/>
      <c r="G40" s="336"/>
    </row>
    <row r="41" spans="1:18" ht="32.1" customHeight="1" thickBot="1" x14ac:dyDescent="0.4">
      <c r="A41" s="393" t="s">
        <v>363</v>
      </c>
      <c r="B41" s="457"/>
      <c r="C41" s="465"/>
      <c r="D41" s="395"/>
      <c r="E41" s="396"/>
      <c r="F41" s="397"/>
      <c r="G41" s="398"/>
    </row>
    <row r="42" spans="1:18" ht="20.100000000000001" customHeight="1" x14ac:dyDescent="0.25">
      <c r="A42" s="32">
        <v>18</v>
      </c>
      <c r="B42" s="542" t="s">
        <v>193</v>
      </c>
      <c r="C42" s="458" t="s">
        <v>358</v>
      </c>
      <c r="D42" s="34"/>
      <c r="E42" s="84"/>
      <c r="F42" s="331">
        <v>0.45</v>
      </c>
      <c r="G42" s="693">
        <v>191250</v>
      </c>
    </row>
    <row r="43" spans="1:18" ht="20.100000000000001" customHeight="1" x14ac:dyDescent="0.25">
      <c r="A43" s="21">
        <v>19</v>
      </c>
      <c r="B43" s="544" t="s">
        <v>194</v>
      </c>
      <c r="C43" s="459" t="s">
        <v>359</v>
      </c>
      <c r="D43" s="22"/>
      <c r="E43" s="53"/>
      <c r="F43" s="331">
        <v>0.45</v>
      </c>
      <c r="G43" s="693">
        <v>191250</v>
      </c>
    </row>
    <row r="44" spans="1:18" ht="20.100000000000001" customHeight="1" x14ac:dyDescent="0.25">
      <c r="A44" s="21">
        <v>20</v>
      </c>
      <c r="B44" s="544" t="s">
        <v>195</v>
      </c>
      <c r="C44" s="459" t="s">
        <v>360</v>
      </c>
      <c r="D44" s="22"/>
      <c r="E44" s="53"/>
      <c r="F44" s="331">
        <v>0.45</v>
      </c>
      <c r="G44" s="693">
        <v>191250</v>
      </c>
    </row>
    <row r="45" spans="1:18" ht="20.100000000000001" customHeight="1" x14ac:dyDescent="0.25">
      <c r="A45" s="32">
        <v>21</v>
      </c>
      <c r="B45" s="544" t="s">
        <v>196</v>
      </c>
      <c r="C45" s="459" t="s">
        <v>361</v>
      </c>
      <c r="D45" s="22"/>
      <c r="E45" s="53"/>
      <c r="F45" s="331">
        <v>0.45</v>
      </c>
      <c r="G45" s="693">
        <v>191250</v>
      </c>
    </row>
    <row r="46" spans="1:18" ht="20.100000000000001" customHeight="1" x14ac:dyDescent="0.25">
      <c r="A46" s="21">
        <v>22</v>
      </c>
      <c r="B46" s="544" t="s">
        <v>197</v>
      </c>
      <c r="C46" s="459" t="s">
        <v>362</v>
      </c>
      <c r="D46" s="22"/>
      <c r="E46" s="53"/>
      <c r="F46" s="331">
        <v>0.45</v>
      </c>
      <c r="G46" s="693">
        <v>191250</v>
      </c>
    </row>
    <row r="47" spans="1:18" ht="15.95" customHeight="1" x14ac:dyDescent="0.25">
      <c r="A47" s="322"/>
      <c r="B47" s="300"/>
      <c r="C47" s="323"/>
      <c r="D47" s="333"/>
      <c r="E47" s="334"/>
      <c r="F47" s="335"/>
      <c r="G47" s="336"/>
    </row>
    <row r="48" spans="1:18" ht="32.1" customHeight="1" thickBot="1" x14ac:dyDescent="0.4">
      <c r="A48" s="474"/>
      <c r="B48" s="468" t="s">
        <v>333</v>
      </c>
      <c r="C48" s="469"/>
      <c r="D48" s="469"/>
      <c r="E48" s="469"/>
      <c r="F48" s="470"/>
      <c r="G48" s="699" t="s">
        <v>565</v>
      </c>
      <c r="H48" s="469"/>
      <c r="I48" s="469"/>
      <c r="J48" s="469"/>
      <c r="K48" s="469"/>
      <c r="L48" s="469"/>
      <c r="M48" s="469"/>
      <c r="N48" s="469"/>
      <c r="O48" s="469"/>
      <c r="P48" s="469"/>
      <c r="Q48" s="469"/>
      <c r="R48" s="469"/>
    </row>
    <row r="49" spans="1:18" ht="20.100000000000001" customHeight="1" x14ac:dyDescent="0.25">
      <c r="A49" s="32">
        <v>23</v>
      </c>
      <c r="B49" s="542" t="s">
        <v>198</v>
      </c>
      <c r="C49" s="455" t="s">
        <v>398</v>
      </c>
      <c r="D49" s="592" t="s">
        <v>383</v>
      </c>
      <c r="E49" s="308">
        <v>14000</v>
      </c>
      <c r="F49" s="297"/>
      <c r="G49" s="693">
        <v>235000</v>
      </c>
      <c r="H49" s="79"/>
      <c r="I49" s="215">
        <v>0</v>
      </c>
      <c r="J49" s="215">
        <v>0</v>
      </c>
      <c r="K49" s="215">
        <v>0</v>
      </c>
      <c r="L49" s="215">
        <v>0</v>
      </c>
      <c r="M49" s="35"/>
      <c r="N49" s="215">
        <v>0</v>
      </c>
      <c r="O49" s="215">
        <v>0</v>
      </c>
      <c r="P49" s="215">
        <v>0</v>
      </c>
      <c r="Q49" s="215">
        <v>0</v>
      </c>
      <c r="R49" s="215">
        <v>0</v>
      </c>
    </row>
    <row r="50" spans="1:18" ht="20.100000000000001" customHeight="1" x14ac:dyDescent="0.25">
      <c r="A50" s="32">
        <f t="shared" ref="A50:A51" si="0">A49+1</f>
        <v>24</v>
      </c>
      <c r="B50" s="542" t="s">
        <v>199</v>
      </c>
      <c r="C50" s="455" t="s">
        <v>398</v>
      </c>
      <c r="D50" s="592" t="s">
        <v>384</v>
      </c>
      <c r="E50" s="308">
        <v>14000</v>
      </c>
      <c r="F50" s="297"/>
      <c r="G50" s="693">
        <v>217000</v>
      </c>
      <c r="H50" s="79"/>
      <c r="I50" s="215">
        <v>0</v>
      </c>
      <c r="J50" s="215">
        <v>0</v>
      </c>
      <c r="K50" s="215">
        <v>0</v>
      </c>
      <c r="L50" s="215">
        <v>0</v>
      </c>
      <c r="M50" s="35"/>
      <c r="N50" s="215">
        <v>0</v>
      </c>
      <c r="O50" s="215">
        <v>0</v>
      </c>
      <c r="P50" s="215">
        <v>0</v>
      </c>
      <c r="Q50" s="215">
        <v>0</v>
      </c>
      <c r="R50" s="215">
        <v>0</v>
      </c>
    </row>
    <row r="51" spans="1:18" ht="20.100000000000001" customHeight="1" x14ac:dyDescent="0.25">
      <c r="A51" s="32">
        <f t="shared" si="0"/>
        <v>25</v>
      </c>
      <c r="B51" s="542" t="s">
        <v>200</v>
      </c>
      <c r="C51" s="455" t="s">
        <v>398</v>
      </c>
      <c r="D51" s="592" t="s">
        <v>385</v>
      </c>
      <c r="E51" s="308">
        <v>14000</v>
      </c>
      <c r="F51" s="297"/>
      <c r="G51" s="693">
        <v>205000</v>
      </c>
      <c r="H51" s="79"/>
      <c r="I51" s="215">
        <v>0</v>
      </c>
      <c r="J51" s="215">
        <v>0</v>
      </c>
      <c r="K51" s="215">
        <v>0</v>
      </c>
      <c r="L51" s="215">
        <v>0</v>
      </c>
      <c r="M51" s="35"/>
      <c r="N51" s="215">
        <v>0</v>
      </c>
      <c r="O51" s="215">
        <v>0</v>
      </c>
      <c r="P51" s="215">
        <v>0</v>
      </c>
      <c r="Q51" s="215">
        <v>0</v>
      </c>
      <c r="R51" s="215">
        <v>0</v>
      </c>
    </row>
    <row r="52" spans="1:18" ht="20.100000000000001" customHeight="1" x14ac:dyDescent="0.25">
      <c r="A52" s="32">
        <f>A51+1</f>
        <v>26</v>
      </c>
      <c r="B52" s="542" t="s">
        <v>201</v>
      </c>
      <c r="C52" s="455" t="s">
        <v>398</v>
      </c>
      <c r="D52" s="592" t="s">
        <v>386</v>
      </c>
      <c r="E52" s="308">
        <v>14000</v>
      </c>
      <c r="F52" s="297"/>
      <c r="G52" s="693">
        <v>180000</v>
      </c>
      <c r="H52" s="79"/>
      <c r="I52" s="215">
        <v>0</v>
      </c>
      <c r="J52" s="215">
        <v>0</v>
      </c>
      <c r="K52" s="215">
        <v>0</v>
      </c>
      <c r="L52" s="215">
        <v>0</v>
      </c>
      <c r="M52" s="35"/>
      <c r="N52" s="215">
        <v>0</v>
      </c>
      <c r="O52" s="215">
        <v>0</v>
      </c>
      <c r="P52" s="215">
        <v>0</v>
      </c>
      <c r="Q52" s="215">
        <v>0</v>
      </c>
      <c r="R52" s="215">
        <v>0</v>
      </c>
    </row>
    <row r="53" spans="1:18" ht="20.100000000000001" customHeight="1" x14ac:dyDescent="0.25">
      <c r="A53" s="37">
        <f t="shared" ref="A53:A62" si="1">A52+1</f>
        <v>27</v>
      </c>
      <c r="B53" s="543" t="s">
        <v>202</v>
      </c>
      <c r="C53" s="472" t="s">
        <v>398</v>
      </c>
      <c r="D53" s="593" t="s">
        <v>387</v>
      </c>
      <c r="E53" s="52">
        <v>14000</v>
      </c>
      <c r="F53" s="365"/>
      <c r="G53" s="694">
        <v>170000</v>
      </c>
      <c r="H53" s="366"/>
      <c r="I53" s="327">
        <v>0</v>
      </c>
      <c r="J53" s="327">
        <v>0</v>
      </c>
      <c r="K53" s="327">
        <v>0</v>
      </c>
      <c r="L53" s="327">
        <v>0</v>
      </c>
      <c r="M53" s="367"/>
      <c r="N53" s="327">
        <v>0</v>
      </c>
      <c r="O53" s="327">
        <v>0</v>
      </c>
      <c r="P53" s="327">
        <v>0</v>
      </c>
      <c r="Q53" s="327">
        <v>0</v>
      </c>
      <c r="R53" s="327">
        <v>0</v>
      </c>
    </row>
    <row r="54" spans="1:18" ht="20.100000000000001" customHeight="1" x14ac:dyDescent="0.25">
      <c r="A54" s="32">
        <f t="shared" si="1"/>
        <v>28</v>
      </c>
      <c r="B54" s="542" t="s">
        <v>203</v>
      </c>
      <c r="C54" s="455" t="s">
        <v>399</v>
      </c>
      <c r="D54" s="592" t="s">
        <v>388</v>
      </c>
      <c r="E54" s="308">
        <v>14000</v>
      </c>
      <c r="F54" s="297"/>
      <c r="G54" s="693">
        <v>155000</v>
      </c>
      <c r="H54" s="79"/>
      <c r="I54" s="215">
        <v>0</v>
      </c>
      <c r="J54" s="215">
        <v>0</v>
      </c>
      <c r="K54" s="215">
        <v>0</v>
      </c>
      <c r="L54" s="215">
        <v>0</v>
      </c>
      <c r="M54" s="35"/>
      <c r="N54" s="215">
        <v>0</v>
      </c>
      <c r="O54" s="215">
        <v>0</v>
      </c>
      <c r="P54" s="215">
        <v>0</v>
      </c>
      <c r="Q54" s="215">
        <v>0</v>
      </c>
      <c r="R54" s="215">
        <v>0</v>
      </c>
    </row>
    <row r="55" spans="1:18" ht="20.100000000000001" customHeight="1" x14ac:dyDescent="0.25">
      <c r="A55" s="37">
        <f t="shared" si="1"/>
        <v>29</v>
      </c>
      <c r="B55" s="543" t="s">
        <v>204</v>
      </c>
      <c r="C55" s="472" t="s">
        <v>399</v>
      </c>
      <c r="D55" s="593" t="s">
        <v>389</v>
      </c>
      <c r="E55" s="52">
        <v>14000</v>
      </c>
      <c r="F55" s="365"/>
      <c r="G55" s="694">
        <v>141000</v>
      </c>
      <c r="H55" s="366"/>
      <c r="I55" s="327">
        <v>0</v>
      </c>
      <c r="J55" s="327">
        <v>0</v>
      </c>
      <c r="K55" s="327">
        <v>0</v>
      </c>
      <c r="L55" s="327">
        <v>0</v>
      </c>
      <c r="M55" s="367"/>
      <c r="N55" s="327">
        <v>0</v>
      </c>
      <c r="O55" s="327">
        <v>0</v>
      </c>
      <c r="P55" s="327">
        <v>0</v>
      </c>
      <c r="Q55" s="327">
        <v>0</v>
      </c>
      <c r="R55" s="327">
        <v>0</v>
      </c>
    </row>
    <row r="56" spans="1:18" ht="20.100000000000001" customHeight="1" x14ac:dyDescent="0.25">
      <c r="A56" s="32">
        <f t="shared" si="1"/>
        <v>30</v>
      </c>
      <c r="B56" s="542" t="s">
        <v>205</v>
      </c>
      <c r="C56" s="455" t="s">
        <v>400</v>
      </c>
      <c r="D56" s="592" t="s">
        <v>390</v>
      </c>
      <c r="E56" s="308">
        <v>14000</v>
      </c>
      <c r="F56" s="297"/>
      <c r="G56" s="693">
        <v>115000</v>
      </c>
      <c r="H56" s="79"/>
      <c r="I56" s="215">
        <v>0</v>
      </c>
      <c r="J56" s="215">
        <v>0</v>
      </c>
      <c r="K56" s="215">
        <v>0</v>
      </c>
      <c r="L56" s="215">
        <v>0</v>
      </c>
      <c r="M56" s="35"/>
      <c r="N56" s="215">
        <v>0</v>
      </c>
      <c r="O56" s="215">
        <v>0</v>
      </c>
      <c r="P56" s="215">
        <v>0</v>
      </c>
      <c r="Q56" s="215">
        <v>0</v>
      </c>
      <c r="R56" s="215">
        <v>0</v>
      </c>
    </row>
    <row r="57" spans="1:18" ht="20.100000000000001" customHeight="1" x14ac:dyDescent="0.25">
      <c r="A57" s="32">
        <f t="shared" si="1"/>
        <v>31</v>
      </c>
      <c r="B57" s="542" t="s">
        <v>206</v>
      </c>
      <c r="C57" s="455" t="s">
        <v>400</v>
      </c>
      <c r="D57" s="592" t="s">
        <v>391</v>
      </c>
      <c r="E57" s="308">
        <v>14000</v>
      </c>
      <c r="F57" s="297"/>
      <c r="G57" s="693">
        <v>105000</v>
      </c>
      <c r="H57" s="79"/>
      <c r="I57" s="215">
        <v>0</v>
      </c>
      <c r="J57" s="215">
        <v>0</v>
      </c>
      <c r="K57" s="215">
        <v>0</v>
      </c>
      <c r="L57" s="215">
        <v>0</v>
      </c>
      <c r="M57" s="35"/>
      <c r="N57" s="215">
        <v>0</v>
      </c>
      <c r="O57" s="215">
        <v>0</v>
      </c>
      <c r="P57" s="215">
        <v>0</v>
      </c>
      <c r="Q57" s="215">
        <v>0</v>
      </c>
      <c r="R57" s="215">
        <v>0</v>
      </c>
    </row>
    <row r="58" spans="1:18" ht="20.100000000000001" customHeight="1" x14ac:dyDescent="0.25">
      <c r="A58" s="37">
        <f t="shared" si="1"/>
        <v>32</v>
      </c>
      <c r="B58" s="543" t="s">
        <v>207</v>
      </c>
      <c r="C58" s="472" t="s">
        <v>400</v>
      </c>
      <c r="D58" s="593" t="s">
        <v>392</v>
      </c>
      <c r="E58" s="52">
        <v>14000</v>
      </c>
      <c r="F58" s="365"/>
      <c r="G58" s="473">
        <v>98000</v>
      </c>
      <c r="H58" s="366"/>
      <c r="I58" s="327">
        <v>0</v>
      </c>
      <c r="J58" s="327">
        <v>0</v>
      </c>
      <c r="K58" s="327">
        <v>0</v>
      </c>
      <c r="L58" s="327">
        <v>0</v>
      </c>
      <c r="M58" s="367"/>
      <c r="N58" s="327">
        <v>0</v>
      </c>
      <c r="O58" s="327">
        <v>0</v>
      </c>
      <c r="P58" s="327">
        <v>0</v>
      </c>
      <c r="Q58" s="327">
        <v>0</v>
      </c>
      <c r="R58" s="327">
        <v>0</v>
      </c>
    </row>
    <row r="59" spans="1:18" ht="20.100000000000001" customHeight="1" x14ac:dyDescent="0.25">
      <c r="A59" s="32">
        <f t="shared" si="1"/>
        <v>33</v>
      </c>
      <c r="B59" s="542" t="s">
        <v>208</v>
      </c>
      <c r="C59" s="455" t="s">
        <v>401</v>
      </c>
      <c r="D59" s="592" t="s">
        <v>393</v>
      </c>
      <c r="E59" s="596" t="s">
        <v>503</v>
      </c>
      <c r="F59" s="297"/>
      <c r="G59" s="460">
        <v>90000</v>
      </c>
      <c r="H59" s="79"/>
      <c r="I59" s="215">
        <v>0</v>
      </c>
      <c r="J59" s="215">
        <v>0</v>
      </c>
      <c r="K59" s="215">
        <v>0</v>
      </c>
      <c r="L59" s="215">
        <v>0</v>
      </c>
      <c r="M59" s="35"/>
      <c r="N59" s="215">
        <v>0</v>
      </c>
      <c r="O59" s="215">
        <v>0</v>
      </c>
      <c r="P59" s="215">
        <v>0</v>
      </c>
      <c r="Q59" s="215">
        <v>0</v>
      </c>
      <c r="R59" s="215">
        <v>0</v>
      </c>
    </row>
    <row r="60" spans="1:18" ht="20.100000000000001" customHeight="1" x14ac:dyDescent="0.25">
      <c r="A60" s="32">
        <f t="shared" si="1"/>
        <v>34</v>
      </c>
      <c r="B60" s="542" t="s">
        <v>209</v>
      </c>
      <c r="C60" s="455" t="s">
        <v>401</v>
      </c>
      <c r="D60" s="592" t="s">
        <v>394</v>
      </c>
      <c r="E60" s="596" t="s">
        <v>504</v>
      </c>
      <c r="F60" s="297"/>
      <c r="G60" s="460">
        <v>80000</v>
      </c>
      <c r="H60" s="79"/>
      <c r="I60" s="215">
        <v>0</v>
      </c>
      <c r="J60" s="215">
        <v>0</v>
      </c>
      <c r="K60" s="215">
        <v>0</v>
      </c>
      <c r="L60" s="215">
        <v>0</v>
      </c>
      <c r="M60" s="35"/>
      <c r="N60" s="215">
        <v>0</v>
      </c>
      <c r="O60" s="215">
        <v>0</v>
      </c>
      <c r="P60" s="215">
        <v>0</v>
      </c>
      <c r="Q60" s="215">
        <v>0</v>
      </c>
      <c r="R60" s="215">
        <v>0</v>
      </c>
    </row>
    <row r="61" spans="1:18" ht="20.100000000000001" customHeight="1" x14ac:dyDescent="0.25">
      <c r="A61" s="32">
        <f t="shared" si="1"/>
        <v>35</v>
      </c>
      <c r="B61" s="542" t="s">
        <v>210</v>
      </c>
      <c r="C61" s="455" t="s">
        <v>401</v>
      </c>
      <c r="D61" s="592" t="s">
        <v>395</v>
      </c>
      <c r="E61" s="596" t="s">
        <v>504</v>
      </c>
      <c r="F61" s="297"/>
      <c r="G61" s="460">
        <v>70000</v>
      </c>
      <c r="H61" s="79"/>
      <c r="I61" s="215">
        <v>0</v>
      </c>
      <c r="J61" s="215">
        <v>0</v>
      </c>
      <c r="K61" s="215">
        <v>0</v>
      </c>
      <c r="L61" s="215">
        <v>0</v>
      </c>
      <c r="M61" s="35"/>
      <c r="N61" s="215">
        <v>0</v>
      </c>
      <c r="O61" s="215">
        <v>0</v>
      </c>
      <c r="P61" s="215">
        <v>0</v>
      </c>
      <c r="Q61" s="215">
        <v>0</v>
      </c>
      <c r="R61" s="215">
        <v>0</v>
      </c>
    </row>
    <row r="62" spans="1:18" ht="20.100000000000001" customHeight="1" x14ac:dyDescent="0.25">
      <c r="A62" s="37">
        <f t="shared" si="1"/>
        <v>36</v>
      </c>
      <c r="B62" s="543" t="s">
        <v>211</v>
      </c>
      <c r="C62" s="472" t="s">
        <v>401</v>
      </c>
      <c r="D62" s="593" t="s">
        <v>396</v>
      </c>
      <c r="E62" s="597" t="s">
        <v>504</v>
      </c>
      <c r="F62" s="365"/>
      <c r="G62" s="473">
        <v>60000</v>
      </c>
      <c r="H62" s="366"/>
      <c r="I62" s="327">
        <v>0</v>
      </c>
      <c r="J62" s="327">
        <v>0</v>
      </c>
      <c r="K62" s="327">
        <v>0</v>
      </c>
      <c r="L62" s="327">
        <v>0</v>
      </c>
      <c r="M62" s="367"/>
      <c r="N62" s="327">
        <v>0</v>
      </c>
      <c r="O62" s="327">
        <v>0</v>
      </c>
      <c r="P62" s="327">
        <v>0</v>
      </c>
      <c r="Q62" s="327">
        <v>0</v>
      </c>
      <c r="R62" s="327">
        <v>0</v>
      </c>
    </row>
    <row r="63" spans="1:18" ht="15.95" customHeight="1" x14ac:dyDescent="0.25">
      <c r="A63" s="466"/>
      <c r="B63" s="466"/>
      <c r="C63" s="464"/>
      <c r="D63" s="333"/>
      <c r="E63" s="334"/>
      <c r="F63" s="335"/>
      <c r="G63" s="336"/>
    </row>
    <row r="64" spans="1:18" ht="32.1" customHeight="1" thickBot="1" x14ac:dyDescent="0.4">
      <c r="A64" s="474"/>
      <c r="B64" s="468" t="s">
        <v>432</v>
      </c>
      <c r="C64" s="469"/>
      <c r="D64" s="469"/>
      <c r="E64" s="469"/>
      <c r="F64" s="470"/>
      <c r="G64" s="471"/>
      <c r="H64" s="469"/>
      <c r="I64" s="469"/>
      <c r="J64" s="469"/>
      <c r="K64" s="469"/>
      <c r="L64" s="469"/>
      <c r="M64" s="469"/>
      <c r="N64" s="469"/>
      <c r="O64" s="469"/>
      <c r="P64" s="469"/>
      <c r="Q64" s="469"/>
      <c r="R64" s="469"/>
    </row>
    <row r="65" spans="1:18" s="372" customFormat="1" ht="20.100000000000001" customHeight="1" x14ac:dyDescent="0.25">
      <c r="A65" s="338">
        <v>37</v>
      </c>
      <c r="B65" s="542" t="s">
        <v>212</v>
      </c>
      <c r="C65" s="455" t="s">
        <v>402</v>
      </c>
      <c r="D65" s="592" t="s">
        <v>383</v>
      </c>
      <c r="E65" s="598">
        <v>14000</v>
      </c>
      <c r="F65" s="368"/>
      <c r="G65" s="695">
        <v>235000</v>
      </c>
      <c r="H65" s="369"/>
      <c r="I65" s="370"/>
      <c r="J65" s="370"/>
      <c r="K65" s="370"/>
      <c r="L65" s="370"/>
      <c r="M65" s="371"/>
      <c r="N65" s="370"/>
      <c r="O65" s="370"/>
      <c r="P65" s="370"/>
      <c r="Q65" s="370"/>
      <c r="R65" s="370"/>
    </row>
    <row r="66" spans="1:18" s="372" customFormat="1" ht="20.100000000000001" customHeight="1" x14ac:dyDescent="0.25">
      <c r="A66" s="338">
        <f t="shared" ref="A66:A94" si="2">A65+1</f>
        <v>38</v>
      </c>
      <c r="B66" s="542" t="s">
        <v>213</v>
      </c>
      <c r="C66" s="455" t="s">
        <v>403</v>
      </c>
      <c r="D66" s="592" t="s">
        <v>383</v>
      </c>
      <c r="E66" s="598">
        <v>14000</v>
      </c>
      <c r="F66" s="368"/>
      <c r="G66" s="695">
        <v>235000</v>
      </c>
      <c r="H66" s="369"/>
      <c r="I66" s="370"/>
      <c r="J66" s="370"/>
      <c r="K66" s="370"/>
      <c r="L66" s="370"/>
      <c r="M66" s="371"/>
      <c r="N66" s="370"/>
      <c r="O66" s="370"/>
      <c r="P66" s="370"/>
      <c r="Q66" s="370"/>
      <c r="R66" s="370"/>
    </row>
    <row r="67" spans="1:18" s="372" customFormat="1" ht="20.100000000000001" customHeight="1" x14ac:dyDescent="0.25">
      <c r="A67" s="338">
        <f t="shared" si="2"/>
        <v>39</v>
      </c>
      <c r="B67" s="542" t="s">
        <v>214</v>
      </c>
      <c r="C67" s="455" t="s">
        <v>404</v>
      </c>
      <c r="D67" s="592" t="s">
        <v>383</v>
      </c>
      <c r="E67" s="598">
        <v>14000</v>
      </c>
      <c r="F67" s="368"/>
      <c r="G67" s="695">
        <v>235000</v>
      </c>
      <c r="H67" s="369"/>
      <c r="I67" s="370"/>
      <c r="J67" s="370"/>
      <c r="K67" s="370"/>
      <c r="L67" s="370"/>
      <c r="M67" s="371"/>
      <c r="N67" s="370"/>
      <c r="O67" s="370"/>
      <c r="P67" s="370"/>
      <c r="Q67" s="370"/>
      <c r="R67" s="370"/>
    </row>
    <row r="68" spans="1:18" s="372" customFormat="1" ht="20.100000000000001" customHeight="1" x14ac:dyDescent="0.25">
      <c r="A68" s="338">
        <f t="shared" si="2"/>
        <v>40</v>
      </c>
      <c r="B68" s="542" t="s">
        <v>215</v>
      </c>
      <c r="C68" s="455" t="s">
        <v>405</v>
      </c>
      <c r="D68" s="592" t="s">
        <v>383</v>
      </c>
      <c r="E68" s="598">
        <v>14000</v>
      </c>
      <c r="F68" s="368"/>
      <c r="G68" s="695">
        <v>235000</v>
      </c>
      <c r="H68" s="369"/>
      <c r="I68" s="370"/>
      <c r="J68" s="370"/>
      <c r="K68" s="370"/>
      <c r="L68" s="370"/>
      <c r="M68" s="371"/>
      <c r="N68" s="370"/>
      <c r="O68" s="370"/>
      <c r="P68" s="370"/>
      <c r="Q68" s="370"/>
      <c r="R68" s="370"/>
    </row>
    <row r="69" spans="1:18" s="372" customFormat="1" ht="20.100000000000001" customHeight="1" x14ac:dyDescent="0.25">
      <c r="A69" s="475">
        <f t="shared" si="2"/>
        <v>41</v>
      </c>
      <c r="B69" s="545" t="s">
        <v>216</v>
      </c>
      <c r="C69" s="480" t="s">
        <v>406</v>
      </c>
      <c r="D69" s="594" t="s">
        <v>383</v>
      </c>
      <c r="E69" s="599">
        <v>14000</v>
      </c>
      <c r="F69" s="381"/>
      <c r="G69" s="696">
        <v>235000</v>
      </c>
      <c r="H69" s="382"/>
      <c r="I69" s="383"/>
      <c r="J69" s="383"/>
      <c r="K69" s="383"/>
      <c r="L69" s="383"/>
      <c r="M69" s="384"/>
      <c r="N69" s="383"/>
      <c r="O69" s="383"/>
      <c r="P69" s="383"/>
      <c r="Q69" s="383"/>
      <c r="R69" s="383"/>
    </row>
    <row r="70" spans="1:18" s="372" customFormat="1" ht="20.100000000000001" customHeight="1" x14ac:dyDescent="0.25">
      <c r="A70" s="338">
        <f t="shared" si="2"/>
        <v>42</v>
      </c>
      <c r="B70" s="542" t="s">
        <v>217</v>
      </c>
      <c r="C70" s="455" t="s">
        <v>407</v>
      </c>
      <c r="D70" s="592" t="s">
        <v>384</v>
      </c>
      <c r="E70" s="598">
        <v>14000</v>
      </c>
      <c r="F70" s="368"/>
      <c r="G70" s="695">
        <v>217000</v>
      </c>
      <c r="H70" s="369"/>
      <c r="I70" s="370"/>
      <c r="J70" s="370"/>
      <c r="K70" s="370"/>
      <c r="L70" s="370"/>
      <c r="M70" s="371"/>
      <c r="N70" s="370"/>
      <c r="O70" s="370"/>
      <c r="P70" s="370"/>
      <c r="Q70" s="370"/>
      <c r="R70" s="370"/>
    </row>
    <row r="71" spans="1:18" s="372" customFormat="1" ht="20.100000000000001" customHeight="1" x14ac:dyDescent="0.25">
      <c r="A71" s="338">
        <f t="shared" si="2"/>
        <v>43</v>
      </c>
      <c r="B71" s="542" t="s">
        <v>218</v>
      </c>
      <c r="C71" s="455" t="s">
        <v>408</v>
      </c>
      <c r="D71" s="592" t="s">
        <v>384</v>
      </c>
      <c r="E71" s="598">
        <v>14000</v>
      </c>
      <c r="F71" s="368"/>
      <c r="G71" s="695">
        <v>217000</v>
      </c>
      <c r="H71" s="369"/>
      <c r="I71" s="370"/>
      <c r="J71" s="370"/>
      <c r="K71" s="370"/>
      <c r="L71" s="370"/>
      <c r="M71" s="371"/>
      <c r="N71" s="370"/>
      <c r="O71" s="370"/>
      <c r="P71" s="370"/>
      <c r="Q71" s="370"/>
      <c r="R71" s="370"/>
    </row>
    <row r="72" spans="1:18" s="372" customFormat="1" ht="20.100000000000001" customHeight="1" x14ac:dyDescent="0.25">
      <c r="A72" s="338">
        <f t="shared" si="2"/>
        <v>44</v>
      </c>
      <c r="B72" s="542" t="s">
        <v>219</v>
      </c>
      <c r="C72" s="455" t="s">
        <v>409</v>
      </c>
      <c r="D72" s="592" t="s">
        <v>384</v>
      </c>
      <c r="E72" s="598">
        <v>14000</v>
      </c>
      <c r="F72" s="368"/>
      <c r="G72" s="695">
        <v>217000</v>
      </c>
      <c r="H72" s="369"/>
      <c r="I72" s="370"/>
      <c r="J72" s="370"/>
      <c r="K72" s="370"/>
      <c r="L72" s="370"/>
      <c r="M72" s="371"/>
      <c r="N72" s="370"/>
      <c r="O72" s="370"/>
      <c r="P72" s="370"/>
      <c r="Q72" s="370"/>
      <c r="R72" s="370"/>
    </row>
    <row r="73" spans="1:18" s="372" customFormat="1" ht="20.100000000000001" customHeight="1" x14ac:dyDescent="0.25">
      <c r="A73" s="338">
        <f t="shared" si="2"/>
        <v>45</v>
      </c>
      <c r="B73" s="542" t="s">
        <v>220</v>
      </c>
      <c r="C73" s="455" t="s">
        <v>410</v>
      </c>
      <c r="D73" s="592" t="s">
        <v>384</v>
      </c>
      <c r="E73" s="598">
        <v>14000</v>
      </c>
      <c r="F73" s="368"/>
      <c r="G73" s="695">
        <v>217000</v>
      </c>
      <c r="H73" s="369"/>
      <c r="I73" s="370"/>
      <c r="J73" s="370"/>
      <c r="K73" s="370"/>
      <c r="L73" s="370"/>
      <c r="M73" s="371"/>
      <c r="N73" s="370"/>
      <c r="O73" s="370"/>
      <c r="P73" s="370"/>
      <c r="Q73" s="370"/>
      <c r="R73" s="370"/>
    </row>
    <row r="74" spans="1:18" s="372" customFormat="1" ht="20.100000000000001" customHeight="1" x14ac:dyDescent="0.25">
      <c r="A74" s="338">
        <f t="shared" si="2"/>
        <v>46</v>
      </c>
      <c r="B74" s="542" t="s">
        <v>221</v>
      </c>
      <c r="C74" s="455" t="s">
        <v>411</v>
      </c>
      <c r="D74" s="592" t="s">
        <v>384</v>
      </c>
      <c r="E74" s="598">
        <v>14000</v>
      </c>
      <c r="F74" s="368"/>
      <c r="G74" s="695">
        <v>217000</v>
      </c>
      <c r="H74" s="369"/>
      <c r="I74" s="370"/>
      <c r="J74" s="370"/>
      <c r="K74" s="370"/>
      <c r="L74" s="370"/>
      <c r="M74" s="371"/>
      <c r="N74" s="370"/>
      <c r="O74" s="370"/>
      <c r="P74" s="370"/>
      <c r="Q74" s="370"/>
      <c r="R74" s="370"/>
    </row>
    <row r="75" spans="1:18" s="372" customFormat="1" ht="20.100000000000001" customHeight="1" x14ac:dyDescent="0.25">
      <c r="A75" s="338">
        <f t="shared" si="2"/>
        <v>47</v>
      </c>
      <c r="B75" s="542" t="s">
        <v>222</v>
      </c>
      <c r="C75" s="455" t="s">
        <v>412</v>
      </c>
      <c r="D75" s="592" t="s">
        <v>384</v>
      </c>
      <c r="E75" s="598">
        <v>14000</v>
      </c>
      <c r="F75" s="368"/>
      <c r="G75" s="695">
        <v>217000</v>
      </c>
      <c r="H75" s="369"/>
      <c r="I75" s="370"/>
      <c r="J75" s="370"/>
      <c r="K75" s="370"/>
      <c r="L75" s="370"/>
      <c r="M75" s="371"/>
      <c r="N75" s="370"/>
      <c r="O75" s="370"/>
      <c r="P75" s="370"/>
      <c r="Q75" s="370"/>
      <c r="R75" s="370"/>
    </row>
    <row r="76" spans="1:18" s="372" customFormat="1" ht="20.100000000000001" customHeight="1" x14ac:dyDescent="0.25">
      <c r="A76" s="338">
        <f t="shared" si="2"/>
        <v>48</v>
      </c>
      <c r="B76" s="542" t="s">
        <v>223</v>
      </c>
      <c r="C76" s="455" t="s">
        <v>413</v>
      </c>
      <c r="D76" s="592" t="s">
        <v>384</v>
      </c>
      <c r="E76" s="598">
        <v>14000</v>
      </c>
      <c r="F76" s="368"/>
      <c r="G76" s="695">
        <v>217000</v>
      </c>
      <c r="H76" s="369"/>
      <c r="I76" s="370"/>
      <c r="J76" s="370"/>
      <c r="K76" s="370"/>
      <c r="L76" s="370"/>
      <c r="M76" s="371"/>
      <c r="N76" s="370"/>
      <c r="O76" s="370"/>
      <c r="P76" s="370"/>
      <c r="Q76" s="370"/>
      <c r="R76" s="370"/>
    </row>
    <row r="77" spans="1:18" s="372" customFormat="1" ht="20.100000000000001" customHeight="1" x14ac:dyDescent="0.25">
      <c r="A77" s="338">
        <f t="shared" si="2"/>
        <v>49</v>
      </c>
      <c r="B77" s="542" t="s">
        <v>224</v>
      </c>
      <c r="C77" s="455" t="s">
        <v>414</v>
      </c>
      <c r="D77" s="592" t="s">
        <v>384</v>
      </c>
      <c r="E77" s="598">
        <v>14000</v>
      </c>
      <c r="F77" s="368"/>
      <c r="G77" s="695">
        <v>217000</v>
      </c>
      <c r="H77" s="369"/>
      <c r="I77" s="370"/>
      <c r="J77" s="370"/>
      <c r="K77" s="370"/>
      <c r="L77" s="370"/>
      <c r="M77" s="371"/>
      <c r="N77" s="370"/>
      <c r="O77" s="370"/>
      <c r="P77" s="370"/>
      <c r="Q77" s="370"/>
      <c r="R77" s="370"/>
    </row>
    <row r="78" spans="1:18" s="372" customFormat="1" ht="20.100000000000001" customHeight="1" x14ac:dyDescent="0.25">
      <c r="A78" s="476">
        <f t="shared" si="2"/>
        <v>50</v>
      </c>
      <c r="B78" s="545" t="s">
        <v>225</v>
      </c>
      <c r="C78" s="481" t="s">
        <v>415</v>
      </c>
      <c r="D78" s="595" t="s">
        <v>384</v>
      </c>
      <c r="E78" s="600">
        <v>14000</v>
      </c>
      <c r="F78" s="386"/>
      <c r="G78" s="697">
        <v>217000</v>
      </c>
      <c r="H78" s="382"/>
      <c r="I78" s="383"/>
      <c r="J78" s="383"/>
      <c r="K78" s="383"/>
      <c r="L78" s="383"/>
      <c r="M78" s="384"/>
      <c r="N78" s="383"/>
      <c r="O78" s="383"/>
      <c r="P78" s="383"/>
      <c r="Q78" s="383"/>
      <c r="R78" s="383"/>
    </row>
    <row r="79" spans="1:18" s="372" customFormat="1" ht="20.100000000000001" customHeight="1" x14ac:dyDescent="0.25">
      <c r="A79" s="338">
        <f t="shared" si="2"/>
        <v>51</v>
      </c>
      <c r="B79" s="542" t="s">
        <v>226</v>
      </c>
      <c r="C79" s="455" t="s">
        <v>416</v>
      </c>
      <c r="D79" s="592" t="s">
        <v>385</v>
      </c>
      <c r="E79" s="598">
        <v>14000</v>
      </c>
      <c r="F79" s="368"/>
      <c r="G79" s="695">
        <v>205000</v>
      </c>
      <c r="H79" s="369"/>
      <c r="I79" s="370"/>
      <c r="J79" s="370"/>
      <c r="K79" s="370"/>
      <c r="L79" s="370"/>
      <c r="M79" s="371"/>
      <c r="N79" s="370"/>
      <c r="O79" s="370"/>
      <c r="P79" s="370"/>
      <c r="Q79" s="370"/>
      <c r="R79" s="370"/>
    </row>
    <row r="80" spans="1:18" s="372" customFormat="1" ht="20.100000000000001" customHeight="1" x14ac:dyDescent="0.25">
      <c r="A80" s="338">
        <f t="shared" si="2"/>
        <v>52</v>
      </c>
      <c r="B80" s="542" t="s">
        <v>227</v>
      </c>
      <c r="C80" s="455" t="s">
        <v>417</v>
      </c>
      <c r="D80" s="592" t="s">
        <v>385</v>
      </c>
      <c r="E80" s="598">
        <v>14000</v>
      </c>
      <c r="F80" s="368"/>
      <c r="G80" s="695">
        <v>205000</v>
      </c>
      <c r="H80" s="369"/>
      <c r="I80" s="370"/>
      <c r="J80" s="370"/>
      <c r="K80" s="370"/>
      <c r="L80" s="370"/>
      <c r="M80" s="371"/>
      <c r="N80" s="370"/>
      <c r="O80" s="370"/>
      <c r="P80" s="370"/>
      <c r="Q80" s="370"/>
      <c r="R80" s="370"/>
    </row>
    <row r="81" spans="1:18" s="372" customFormat="1" ht="20.100000000000001" customHeight="1" x14ac:dyDescent="0.25">
      <c r="A81" s="338">
        <f t="shared" si="2"/>
        <v>53</v>
      </c>
      <c r="B81" s="542" t="s">
        <v>228</v>
      </c>
      <c r="C81" s="455" t="s">
        <v>418</v>
      </c>
      <c r="D81" s="592" t="s">
        <v>385</v>
      </c>
      <c r="E81" s="598">
        <v>14000</v>
      </c>
      <c r="F81" s="368"/>
      <c r="G81" s="695">
        <v>205000</v>
      </c>
      <c r="H81" s="369"/>
      <c r="I81" s="370"/>
      <c r="J81" s="370"/>
      <c r="K81" s="370"/>
      <c r="L81" s="370"/>
      <c r="M81" s="371"/>
      <c r="N81" s="370"/>
      <c r="O81" s="370"/>
      <c r="P81" s="370"/>
      <c r="Q81" s="370"/>
      <c r="R81" s="370"/>
    </row>
    <row r="82" spans="1:18" s="372" customFormat="1" ht="20.100000000000001" customHeight="1" x14ac:dyDescent="0.25">
      <c r="A82" s="338">
        <f t="shared" si="2"/>
        <v>54</v>
      </c>
      <c r="B82" s="542" t="s">
        <v>229</v>
      </c>
      <c r="C82" s="455" t="s">
        <v>419</v>
      </c>
      <c r="D82" s="592" t="s">
        <v>385</v>
      </c>
      <c r="E82" s="598">
        <v>14000</v>
      </c>
      <c r="F82" s="368"/>
      <c r="G82" s="695">
        <v>205000</v>
      </c>
      <c r="H82" s="369"/>
      <c r="I82" s="370"/>
      <c r="J82" s="370"/>
      <c r="K82" s="370"/>
      <c r="L82" s="370"/>
      <c r="M82" s="371"/>
      <c r="N82" s="370"/>
      <c r="O82" s="370"/>
      <c r="P82" s="370"/>
      <c r="Q82" s="370"/>
      <c r="R82" s="370"/>
    </row>
    <row r="83" spans="1:18" s="372" customFormat="1" ht="20.100000000000001" customHeight="1" x14ac:dyDescent="0.25">
      <c r="A83" s="338">
        <f t="shared" si="2"/>
        <v>55</v>
      </c>
      <c r="B83" s="542" t="s">
        <v>230</v>
      </c>
      <c r="C83" s="455" t="s">
        <v>427</v>
      </c>
      <c r="D83" s="592" t="s">
        <v>385</v>
      </c>
      <c r="E83" s="598">
        <v>14000</v>
      </c>
      <c r="F83" s="368"/>
      <c r="G83" s="695">
        <v>205000</v>
      </c>
      <c r="H83" s="369"/>
      <c r="I83" s="370"/>
      <c r="J83" s="370"/>
      <c r="K83" s="370"/>
      <c r="L83" s="370"/>
      <c r="M83" s="371"/>
      <c r="N83" s="370"/>
      <c r="O83" s="370"/>
      <c r="P83" s="370"/>
      <c r="Q83" s="370"/>
      <c r="R83" s="370"/>
    </row>
    <row r="84" spans="1:18" s="372" customFormat="1" ht="20.100000000000001" customHeight="1" x14ac:dyDescent="0.25">
      <c r="A84" s="338">
        <f t="shared" si="2"/>
        <v>56</v>
      </c>
      <c r="B84" s="542" t="s">
        <v>231</v>
      </c>
      <c r="C84" s="455" t="s">
        <v>428</v>
      </c>
      <c r="D84" s="592" t="s">
        <v>385</v>
      </c>
      <c r="E84" s="598">
        <v>14000</v>
      </c>
      <c r="F84" s="368"/>
      <c r="G84" s="695">
        <v>205000</v>
      </c>
      <c r="H84" s="369"/>
      <c r="I84" s="370"/>
      <c r="J84" s="370"/>
      <c r="K84" s="370"/>
      <c r="L84" s="370"/>
      <c r="M84" s="371"/>
      <c r="N84" s="370"/>
      <c r="O84" s="370"/>
      <c r="P84" s="370"/>
      <c r="Q84" s="370"/>
      <c r="R84" s="370"/>
    </row>
    <row r="85" spans="1:18" s="372" customFormat="1" ht="20.100000000000001" customHeight="1" x14ac:dyDescent="0.25">
      <c r="A85" s="338">
        <f t="shared" si="2"/>
        <v>57</v>
      </c>
      <c r="B85" s="542" t="s">
        <v>232</v>
      </c>
      <c r="C85" s="455" t="s">
        <v>420</v>
      </c>
      <c r="D85" s="592" t="s">
        <v>385</v>
      </c>
      <c r="E85" s="598">
        <v>14000</v>
      </c>
      <c r="F85" s="368"/>
      <c r="G85" s="695">
        <v>205000</v>
      </c>
      <c r="H85" s="369"/>
      <c r="I85" s="370"/>
      <c r="J85" s="370"/>
      <c r="K85" s="370"/>
      <c r="L85" s="370"/>
      <c r="M85" s="371"/>
      <c r="N85" s="370"/>
      <c r="O85" s="370"/>
      <c r="P85" s="370"/>
      <c r="Q85" s="370"/>
      <c r="R85" s="370"/>
    </row>
    <row r="86" spans="1:18" s="372" customFormat="1" ht="20.100000000000001" customHeight="1" x14ac:dyDescent="0.25">
      <c r="A86" s="338">
        <f t="shared" si="2"/>
        <v>58</v>
      </c>
      <c r="B86" s="542" t="s">
        <v>233</v>
      </c>
      <c r="C86" s="455" t="s">
        <v>421</v>
      </c>
      <c r="D86" s="592" t="s">
        <v>385</v>
      </c>
      <c r="E86" s="598">
        <v>14000</v>
      </c>
      <c r="F86" s="368"/>
      <c r="G86" s="695">
        <v>205000</v>
      </c>
      <c r="H86" s="369"/>
      <c r="I86" s="370"/>
      <c r="J86" s="370"/>
      <c r="K86" s="370"/>
      <c r="L86" s="370"/>
      <c r="M86" s="371"/>
      <c r="N86" s="370"/>
      <c r="O86" s="370"/>
      <c r="P86" s="370"/>
      <c r="Q86" s="370"/>
      <c r="R86" s="370"/>
    </row>
    <row r="87" spans="1:18" s="372" customFormat="1" ht="20.100000000000001" customHeight="1" x14ac:dyDescent="0.25">
      <c r="A87" s="338">
        <f t="shared" si="2"/>
        <v>59</v>
      </c>
      <c r="B87" s="542" t="s">
        <v>234</v>
      </c>
      <c r="C87" s="455" t="s">
        <v>422</v>
      </c>
      <c r="D87" s="592" t="s">
        <v>385</v>
      </c>
      <c r="E87" s="598">
        <v>14000</v>
      </c>
      <c r="F87" s="368"/>
      <c r="G87" s="695">
        <v>205000</v>
      </c>
      <c r="H87" s="369"/>
      <c r="I87" s="370"/>
      <c r="J87" s="370"/>
      <c r="K87" s="370"/>
      <c r="L87" s="370"/>
      <c r="M87" s="371"/>
      <c r="N87" s="370"/>
      <c r="O87" s="370"/>
      <c r="P87" s="370"/>
      <c r="Q87" s="370"/>
      <c r="R87" s="370"/>
    </row>
    <row r="88" spans="1:18" s="372" customFormat="1" ht="20.100000000000001" customHeight="1" x14ac:dyDescent="0.25">
      <c r="A88" s="338">
        <f t="shared" si="2"/>
        <v>60</v>
      </c>
      <c r="B88" s="542" t="s">
        <v>235</v>
      </c>
      <c r="C88" s="455" t="s">
        <v>423</v>
      </c>
      <c r="D88" s="592" t="s">
        <v>385</v>
      </c>
      <c r="E88" s="598">
        <v>14000</v>
      </c>
      <c r="F88" s="368"/>
      <c r="G88" s="695">
        <v>205000</v>
      </c>
      <c r="H88" s="369"/>
      <c r="I88" s="370"/>
      <c r="J88" s="370"/>
      <c r="K88" s="370"/>
      <c r="L88" s="370"/>
      <c r="M88" s="371"/>
      <c r="N88" s="370"/>
      <c r="O88" s="370"/>
      <c r="P88" s="370"/>
      <c r="Q88" s="370"/>
      <c r="R88" s="370"/>
    </row>
    <row r="89" spans="1:18" s="372" customFormat="1" ht="20.100000000000001" customHeight="1" x14ac:dyDescent="0.25">
      <c r="A89" s="476">
        <f t="shared" si="2"/>
        <v>61</v>
      </c>
      <c r="B89" s="545" t="s">
        <v>236</v>
      </c>
      <c r="C89" s="481" t="s">
        <v>424</v>
      </c>
      <c r="D89" s="595" t="s">
        <v>385</v>
      </c>
      <c r="E89" s="600">
        <v>14000</v>
      </c>
      <c r="F89" s="386"/>
      <c r="G89" s="697">
        <v>205000</v>
      </c>
      <c r="H89" s="385"/>
      <c r="I89" s="383"/>
      <c r="J89" s="383"/>
      <c r="K89" s="383"/>
      <c r="L89" s="383"/>
      <c r="M89" s="384"/>
      <c r="N89" s="383"/>
      <c r="O89" s="383"/>
      <c r="P89" s="383"/>
      <c r="Q89" s="383"/>
      <c r="R89" s="383"/>
    </row>
    <row r="90" spans="1:18" s="372" customFormat="1" ht="20.100000000000001" customHeight="1" x14ac:dyDescent="0.25">
      <c r="A90" s="338">
        <f t="shared" si="2"/>
        <v>62</v>
      </c>
      <c r="B90" s="542" t="s">
        <v>237</v>
      </c>
      <c r="C90" s="455" t="s">
        <v>425</v>
      </c>
      <c r="D90" s="592" t="s">
        <v>386</v>
      </c>
      <c r="E90" s="598">
        <v>14000</v>
      </c>
      <c r="F90" s="297"/>
      <c r="G90" s="695">
        <v>180000</v>
      </c>
      <c r="H90" s="369"/>
      <c r="I90" s="370"/>
      <c r="J90" s="370"/>
      <c r="K90" s="370"/>
      <c r="L90" s="370"/>
      <c r="M90" s="371"/>
      <c r="N90" s="370"/>
      <c r="O90" s="370"/>
      <c r="P90" s="370"/>
      <c r="Q90" s="370"/>
      <c r="R90" s="370"/>
    </row>
    <row r="91" spans="1:18" s="372" customFormat="1" ht="20.100000000000001" customHeight="1" x14ac:dyDescent="0.25">
      <c r="A91" s="338">
        <f t="shared" si="2"/>
        <v>63</v>
      </c>
      <c r="B91" s="542" t="s">
        <v>238</v>
      </c>
      <c r="C91" s="455" t="s">
        <v>426</v>
      </c>
      <c r="D91" s="592" t="s">
        <v>386</v>
      </c>
      <c r="E91" s="598">
        <v>14000</v>
      </c>
      <c r="F91" s="297"/>
      <c r="G91" s="695">
        <v>180000</v>
      </c>
      <c r="H91" s="369"/>
      <c r="I91" s="370"/>
      <c r="J91" s="370"/>
      <c r="K91" s="370"/>
      <c r="L91" s="370"/>
      <c r="M91" s="371"/>
      <c r="N91" s="370"/>
      <c r="O91" s="370"/>
      <c r="P91" s="370"/>
      <c r="Q91" s="370"/>
      <c r="R91" s="370"/>
    </row>
    <row r="92" spans="1:18" s="372" customFormat="1" ht="20.100000000000001" customHeight="1" x14ac:dyDescent="0.25">
      <c r="A92" s="338">
        <f t="shared" si="2"/>
        <v>64</v>
      </c>
      <c r="B92" s="542" t="s">
        <v>239</v>
      </c>
      <c r="C92" s="455" t="s">
        <v>429</v>
      </c>
      <c r="D92" s="592" t="s">
        <v>386</v>
      </c>
      <c r="E92" s="598">
        <v>14000</v>
      </c>
      <c r="F92" s="297"/>
      <c r="G92" s="695">
        <v>180000</v>
      </c>
      <c r="H92" s="369"/>
      <c r="I92" s="370"/>
      <c r="J92" s="370"/>
      <c r="K92" s="370"/>
      <c r="L92" s="370"/>
      <c r="M92" s="371"/>
      <c r="N92" s="370"/>
      <c r="O92" s="370"/>
      <c r="P92" s="370"/>
      <c r="Q92" s="370"/>
      <c r="R92" s="370"/>
    </row>
    <row r="93" spans="1:18" s="372" customFormat="1" ht="20.100000000000001" customHeight="1" x14ac:dyDescent="0.25">
      <c r="A93" s="338">
        <f t="shared" si="2"/>
        <v>65</v>
      </c>
      <c r="B93" s="542" t="s">
        <v>240</v>
      </c>
      <c r="C93" s="455" t="s">
        <v>430</v>
      </c>
      <c r="D93" s="592" t="s">
        <v>386</v>
      </c>
      <c r="E93" s="598">
        <v>14000</v>
      </c>
      <c r="F93" s="297"/>
      <c r="G93" s="695">
        <v>180000</v>
      </c>
      <c r="H93" s="369"/>
      <c r="I93" s="370"/>
      <c r="J93" s="370"/>
      <c r="K93" s="370"/>
      <c r="L93" s="370"/>
      <c r="M93" s="371"/>
      <c r="N93" s="370"/>
      <c r="O93" s="370"/>
      <c r="P93" s="370"/>
      <c r="Q93" s="370"/>
      <c r="R93" s="370"/>
    </row>
    <row r="94" spans="1:18" s="372" customFormat="1" ht="20.100000000000001" customHeight="1" x14ac:dyDescent="0.25">
      <c r="A94" s="475">
        <f t="shared" si="2"/>
        <v>66</v>
      </c>
      <c r="B94" s="545" t="s">
        <v>241</v>
      </c>
      <c r="C94" s="480" t="s">
        <v>431</v>
      </c>
      <c r="D94" s="594" t="s">
        <v>386</v>
      </c>
      <c r="E94" s="599">
        <v>14000</v>
      </c>
      <c r="F94" s="552"/>
      <c r="G94" s="696">
        <v>180000</v>
      </c>
      <c r="H94" s="382"/>
      <c r="I94" s="383"/>
      <c r="J94" s="383"/>
      <c r="K94" s="383"/>
      <c r="L94" s="383"/>
      <c r="M94" s="384"/>
      <c r="N94" s="383"/>
      <c r="O94" s="383"/>
      <c r="P94" s="383"/>
      <c r="Q94" s="383"/>
      <c r="R94" s="383"/>
    </row>
    <row r="95" spans="1:18" ht="15.95" customHeight="1" x14ac:dyDescent="0.25">
      <c r="A95" s="329"/>
      <c r="B95" s="323"/>
      <c r="C95" s="323"/>
      <c r="D95" s="333"/>
      <c r="E95" s="334"/>
      <c r="F95" s="335"/>
      <c r="G95" s="336"/>
    </row>
    <row r="96" spans="1:18" ht="32.1" customHeight="1" thickBot="1" x14ac:dyDescent="0.4">
      <c r="A96" s="495" t="s">
        <v>134</v>
      </c>
      <c r="B96" s="467" t="s">
        <v>433</v>
      </c>
      <c r="C96" s="374"/>
      <c r="D96" s="375"/>
      <c r="E96" s="493"/>
      <c r="F96" s="494"/>
      <c r="G96" s="304"/>
    </row>
    <row r="97" spans="1:11" ht="20.100000000000001" customHeight="1" x14ac:dyDescent="0.25">
      <c r="A97" s="362">
        <v>67</v>
      </c>
      <c r="B97" s="546" t="s">
        <v>242</v>
      </c>
      <c r="C97" s="472" t="s">
        <v>364</v>
      </c>
      <c r="D97" s="399"/>
      <c r="E97" s="363"/>
      <c r="F97" s="400" t="s">
        <v>434</v>
      </c>
      <c r="G97" s="477">
        <v>270937.5</v>
      </c>
      <c r="H97" s="521" t="s">
        <v>473</v>
      </c>
      <c r="I97" s="522"/>
      <c r="J97" s="522"/>
      <c r="K97" s="522"/>
    </row>
    <row r="98" spans="1:11" ht="20.100000000000001" customHeight="1" x14ac:dyDescent="0.25">
      <c r="A98" s="360">
        <f t="shared" ref="A98:A115" si="3">A97+1</f>
        <v>68</v>
      </c>
      <c r="B98" s="547" t="s">
        <v>243</v>
      </c>
      <c r="C98" s="487" t="s">
        <v>365</v>
      </c>
      <c r="D98" s="361"/>
      <c r="E98" s="359"/>
      <c r="F98" s="358"/>
      <c r="G98" s="478">
        <v>205000</v>
      </c>
      <c r="H98" s="521" t="s">
        <v>473</v>
      </c>
      <c r="I98" s="522"/>
      <c r="J98" s="522"/>
      <c r="K98" s="522"/>
    </row>
    <row r="99" spans="1:11" ht="20.100000000000001" customHeight="1" x14ac:dyDescent="0.25">
      <c r="A99" s="360">
        <f t="shared" si="3"/>
        <v>69</v>
      </c>
      <c r="B99" s="547" t="s">
        <v>244</v>
      </c>
      <c r="C99" s="487" t="s">
        <v>366</v>
      </c>
      <c r="D99" s="361"/>
      <c r="E99" s="359"/>
      <c r="F99" s="358"/>
      <c r="G99" s="478">
        <v>170000</v>
      </c>
      <c r="H99" s="521" t="s">
        <v>473</v>
      </c>
      <c r="I99" s="522"/>
      <c r="J99" s="522"/>
      <c r="K99" s="522"/>
    </row>
    <row r="100" spans="1:11" ht="20.100000000000001" customHeight="1" x14ac:dyDescent="0.25">
      <c r="A100" s="342">
        <f t="shared" si="3"/>
        <v>70</v>
      </c>
      <c r="B100" s="542" t="s">
        <v>245</v>
      </c>
      <c r="C100" s="455" t="s">
        <v>367</v>
      </c>
      <c r="D100" s="344"/>
      <c r="E100" s="340"/>
      <c r="F100" s="331"/>
      <c r="G100" s="478">
        <v>90000</v>
      </c>
      <c r="H100" s="553" t="s">
        <v>474</v>
      </c>
    </row>
    <row r="101" spans="1:11" ht="20.100000000000001" customHeight="1" x14ac:dyDescent="0.25">
      <c r="A101" s="350">
        <f t="shared" si="3"/>
        <v>71</v>
      </c>
      <c r="B101" s="544" t="s">
        <v>246</v>
      </c>
      <c r="C101" s="456" t="s">
        <v>368</v>
      </c>
      <c r="D101" s="352"/>
      <c r="E101" s="349"/>
      <c r="F101" s="331"/>
      <c r="G101" s="478">
        <v>90000</v>
      </c>
      <c r="H101" s="553" t="s">
        <v>474</v>
      </c>
    </row>
    <row r="102" spans="1:11" ht="20.100000000000001" customHeight="1" x14ac:dyDescent="0.25">
      <c r="A102" s="350">
        <f t="shared" si="3"/>
        <v>72</v>
      </c>
      <c r="B102" s="544" t="s">
        <v>247</v>
      </c>
      <c r="C102" s="456" t="s">
        <v>369</v>
      </c>
      <c r="D102" s="352"/>
      <c r="E102" s="349"/>
      <c r="F102" s="331"/>
      <c r="G102" s="478">
        <v>90000</v>
      </c>
      <c r="H102" s="553" t="s">
        <v>474</v>
      </c>
    </row>
    <row r="103" spans="1:11" ht="20.100000000000001" customHeight="1" x14ac:dyDescent="0.25">
      <c r="A103" s="350">
        <f t="shared" si="3"/>
        <v>73</v>
      </c>
      <c r="B103" s="544" t="s">
        <v>248</v>
      </c>
      <c r="C103" s="456" t="s">
        <v>370</v>
      </c>
      <c r="D103" s="352"/>
      <c r="E103" s="349"/>
      <c r="F103" s="331"/>
      <c r="G103" s="478">
        <v>90000</v>
      </c>
      <c r="H103" s="553" t="s">
        <v>474</v>
      </c>
    </row>
    <row r="104" spans="1:11" ht="20.100000000000001" customHeight="1" x14ac:dyDescent="0.25">
      <c r="A104" s="350">
        <f t="shared" si="3"/>
        <v>74</v>
      </c>
      <c r="B104" s="544" t="s">
        <v>249</v>
      </c>
      <c r="C104" s="456" t="s">
        <v>371</v>
      </c>
      <c r="D104" s="352"/>
      <c r="E104" s="349"/>
      <c r="F104" s="331"/>
      <c r="G104" s="478">
        <v>90000</v>
      </c>
      <c r="H104" s="553" t="s">
        <v>474</v>
      </c>
    </row>
    <row r="105" spans="1:11" ht="20.100000000000001" customHeight="1" x14ac:dyDescent="0.25">
      <c r="A105" s="350">
        <f t="shared" si="3"/>
        <v>75</v>
      </c>
      <c r="B105" s="544" t="s">
        <v>250</v>
      </c>
      <c r="C105" s="456" t="s">
        <v>372</v>
      </c>
      <c r="D105" s="352"/>
      <c r="E105" s="349"/>
      <c r="F105" s="331"/>
      <c r="G105" s="478">
        <v>90000</v>
      </c>
      <c r="H105" s="553" t="s">
        <v>474</v>
      </c>
    </row>
    <row r="106" spans="1:11" ht="20.100000000000001" customHeight="1" x14ac:dyDescent="0.25">
      <c r="A106" s="350">
        <f t="shared" si="3"/>
        <v>76</v>
      </c>
      <c r="B106" s="544" t="s">
        <v>251</v>
      </c>
      <c r="C106" s="456" t="s">
        <v>373</v>
      </c>
      <c r="D106" s="352"/>
      <c r="E106" s="349"/>
      <c r="F106" s="331"/>
      <c r="G106" s="478">
        <v>90000</v>
      </c>
      <c r="H106" s="553" t="s">
        <v>474</v>
      </c>
    </row>
    <row r="107" spans="1:11" ht="20.100000000000001" customHeight="1" x14ac:dyDescent="0.25">
      <c r="A107" s="350">
        <f t="shared" si="3"/>
        <v>77</v>
      </c>
      <c r="B107" s="544" t="s">
        <v>252</v>
      </c>
      <c r="C107" s="456" t="s">
        <v>374</v>
      </c>
      <c r="D107" s="352"/>
      <c r="E107" s="349"/>
      <c r="F107" s="331"/>
      <c r="G107" s="478">
        <v>90000</v>
      </c>
      <c r="H107" s="553" t="s">
        <v>474</v>
      </c>
    </row>
    <row r="108" spans="1:11" ht="20.100000000000001" customHeight="1" x14ac:dyDescent="0.25">
      <c r="A108" s="345">
        <f t="shared" si="3"/>
        <v>78</v>
      </c>
      <c r="B108" s="543" t="s">
        <v>253</v>
      </c>
      <c r="C108" s="488" t="s">
        <v>375</v>
      </c>
      <c r="D108" s="347"/>
      <c r="E108" s="341"/>
      <c r="F108" s="337"/>
      <c r="G108" s="478">
        <v>90000</v>
      </c>
      <c r="H108" s="521" t="s">
        <v>473</v>
      </c>
      <c r="I108" s="522"/>
      <c r="J108" s="522"/>
      <c r="K108" s="522"/>
    </row>
    <row r="109" spans="1:11" ht="20.100000000000001" customHeight="1" x14ac:dyDescent="0.25">
      <c r="A109" s="342">
        <f t="shared" si="3"/>
        <v>79</v>
      </c>
      <c r="B109" s="542" t="s">
        <v>254</v>
      </c>
      <c r="C109" s="455" t="s">
        <v>376</v>
      </c>
      <c r="D109" s="344"/>
      <c r="E109" s="340"/>
      <c r="F109" s="331"/>
      <c r="G109" s="478">
        <v>80000</v>
      </c>
      <c r="H109" s="553" t="s">
        <v>474</v>
      </c>
    </row>
    <row r="110" spans="1:11" ht="20.100000000000001" customHeight="1" x14ac:dyDescent="0.25">
      <c r="A110" s="350">
        <f t="shared" si="3"/>
        <v>80</v>
      </c>
      <c r="B110" s="544" t="s">
        <v>255</v>
      </c>
      <c r="C110" s="456" t="s">
        <v>377</v>
      </c>
      <c r="D110" s="352"/>
      <c r="E110" s="349"/>
      <c r="F110" s="331"/>
      <c r="G110" s="478">
        <v>80000</v>
      </c>
      <c r="H110" s="553" t="s">
        <v>474</v>
      </c>
    </row>
    <row r="111" spans="1:11" ht="20.100000000000001" customHeight="1" x14ac:dyDescent="0.25">
      <c r="A111" s="350">
        <f t="shared" si="3"/>
        <v>81</v>
      </c>
      <c r="B111" s="544" t="s">
        <v>256</v>
      </c>
      <c r="C111" s="456" t="s">
        <v>378</v>
      </c>
      <c r="D111" s="352"/>
      <c r="E111" s="349"/>
      <c r="F111" s="331"/>
      <c r="G111" s="478">
        <v>80000</v>
      </c>
      <c r="H111" s="553" t="s">
        <v>474</v>
      </c>
    </row>
    <row r="112" spans="1:11" ht="20.100000000000001" customHeight="1" x14ac:dyDescent="0.25">
      <c r="A112" s="350">
        <f t="shared" si="3"/>
        <v>82</v>
      </c>
      <c r="B112" s="544" t="s">
        <v>257</v>
      </c>
      <c r="C112" s="456" t="s">
        <v>379</v>
      </c>
      <c r="D112" s="352"/>
      <c r="E112" s="349"/>
      <c r="F112" s="331"/>
      <c r="G112" s="478">
        <v>80000</v>
      </c>
      <c r="H112" s="553" t="s">
        <v>474</v>
      </c>
    </row>
    <row r="113" spans="1:18" ht="20.100000000000001" customHeight="1" x14ac:dyDescent="0.25">
      <c r="A113" s="350">
        <f t="shared" si="3"/>
        <v>83</v>
      </c>
      <c r="B113" s="544" t="s">
        <v>258</v>
      </c>
      <c r="C113" s="456" t="s">
        <v>380</v>
      </c>
      <c r="D113" s="352"/>
      <c r="E113" s="349"/>
      <c r="F113" s="331"/>
      <c r="G113" s="478">
        <v>80000</v>
      </c>
      <c r="H113" s="553" t="s">
        <v>474</v>
      </c>
    </row>
    <row r="114" spans="1:18" ht="20.100000000000001" customHeight="1" x14ac:dyDescent="0.25">
      <c r="A114" s="350">
        <f t="shared" si="3"/>
        <v>84</v>
      </c>
      <c r="B114" s="544" t="s">
        <v>259</v>
      </c>
      <c r="C114" s="456" t="s">
        <v>381</v>
      </c>
      <c r="D114" s="352"/>
      <c r="E114" s="349"/>
      <c r="F114" s="331"/>
      <c r="G114" s="478">
        <v>80000</v>
      </c>
      <c r="H114" s="553" t="s">
        <v>474</v>
      </c>
    </row>
    <row r="115" spans="1:18" ht="20.100000000000001" customHeight="1" x14ac:dyDescent="0.25">
      <c r="A115" s="345">
        <f t="shared" si="3"/>
        <v>85</v>
      </c>
      <c r="B115" s="543" t="s">
        <v>260</v>
      </c>
      <c r="C115" s="488" t="s">
        <v>382</v>
      </c>
      <c r="D115" s="347"/>
      <c r="E115" s="341"/>
      <c r="F115" s="337"/>
      <c r="G115" s="479">
        <v>80000</v>
      </c>
      <c r="H115" s="521" t="s">
        <v>473</v>
      </c>
      <c r="I115" s="522"/>
      <c r="J115" s="522"/>
      <c r="K115" s="522"/>
    </row>
    <row r="116" spans="1:18" ht="15.95" customHeight="1" x14ac:dyDescent="0.25">
      <c r="A116" s="329"/>
      <c r="B116" s="323"/>
      <c r="C116" s="323"/>
      <c r="D116" s="333"/>
      <c r="E116" s="334"/>
      <c r="F116" s="335"/>
      <c r="G116" s="336"/>
    </row>
    <row r="117" spans="1:18" ht="32.1" customHeight="1" thickBot="1" x14ac:dyDescent="0.4">
      <c r="A117" s="393"/>
      <c r="B117" s="467" t="s">
        <v>338</v>
      </c>
      <c r="C117" s="374"/>
      <c r="D117" s="375"/>
      <c r="E117" s="302"/>
      <c r="F117" s="303"/>
      <c r="G117" s="304"/>
      <c r="H117" s="301"/>
      <c r="I117" s="376"/>
      <c r="J117" s="376"/>
      <c r="K117" s="376"/>
      <c r="L117" s="376"/>
      <c r="M117" s="377"/>
      <c r="N117" s="378"/>
      <c r="O117" s="378"/>
      <c r="P117" s="378"/>
      <c r="Q117" s="378"/>
      <c r="R117" s="378"/>
    </row>
    <row r="118" spans="1:18" ht="20.100000000000001" customHeight="1" x14ac:dyDescent="0.25">
      <c r="A118" s="338">
        <v>86</v>
      </c>
      <c r="B118" s="542" t="s">
        <v>261</v>
      </c>
      <c r="C118" s="343" t="s">
        <v>449</v>
      </c>
      <c r="D118" s="387" t="s">
        <v>105</v>
      </c>
      <c r="E118" s="77">
        <v>0</v>
      </c>
      <c r="F118" s="297"/>
      <c r="G118" s="477">
        <v>40000</v>
      </c>
      <c r="H118" s="549">
        <v>0.01</v>
      </c>
      <c r="I118" s="215"/>
      <c r="J118" s="215"/>
      <c r="K118" s="215"/>
      <c r="L118" s="215"/>
      <c r="M118" s="83"/>
      <c r="N118" s="215">
        <f t="shared" ref="N118:N124" si="4">G118*M118</f>
        <v>0</v>
      </c>
      <c r="O118" s="215">
        <v>0</v>
      </c>
      <c r="P118" s="215">
        <v>0</v>
      </c>
      <c r="Q118" s="215">
        <v>0</v>
      </c>
      <c r="R118" s="215">
        <v>0</v>
      </c>
    </row>
    <row r="119" spans="1:18" ht="20.100000000000001" customHeight="1" x14ac:dyDescent="0.25">
      <c r="A119" s="338">
        <f t="shared" ref="A119:A126" si="5">A118+1</f>
        <v>87</v>
      </c>
      <c r="B119" s="542" t="s">
        <v>262</v>
      </c>
      <c r="C119" s="351" t="s">
        <v>450</v>
      </c>
      <c r="D119" s="388" t="s">
        <v>106</v>
      </c>
      <c r="E119" s="77">
        <v>0</v>
      </c>
      <c r="F119" s="298"/>
      <c r="G119" s="478">
        <v>41000</v>
      </c>
      <c r="H119" s="550">
        <v>0.01</v>
      </c>
      <c r="I119" s="215"/>
      <c r="J119" s="215"/>
      <c r="K119" s="215"/>
      <c r="L119" s="215"/>
      <c r="M119" s="83"/>
      <c r="N119" s="215">
        <f t="shared" si="4"/>
        <v>0</v>
      </c>
      <c r="O119" s="215">
        <v>0</v>
      </c>
      <c r="P119" s="215">
        <v>0</v>
      </c>
      <c r="Q119" s="215">
        <v>0</v>
      </c>
      <c r="R119" s="215">
        <v>0</v>
      </c>
    </row>
    <row r="120" spans="1:18" ht="20.100000000000001" customHeight="1" x14ac:dyDescent="0.25">
      <c r="A120" s="338">
        <f t="shared" si="5"/>
        <v>88</v>
      </c>
      <c r="B120" s="542" t="s">
        <v>263</v>
      </c>
      <c r="C120" s="351" t="s">
        <v>451</v>
      </c>
      <c r="D120" s="388" t="s">
        <v>107</v>
      </c>
      <c r="E120" s="77">
        <v>0</v>
      </c>
      <c r="F120" s="298"/>
      <c r="G120" s="478">
        <v>41800</v>
      </c>
      <c r="H120" s="550">
        <v>0.01</v>
      </c>
      <c r="I120" s="215"/>
      <c r="J120" s="215"/>
      <c r="K120" s="215"/>
      <c r="L120" s="215"/>
      <c r="M120" s="83"/>
      <c r="N120" s="215">
        <f t="shared" si="4"/>
        <v>0</v>
      </c>
      <c r="O120" s="215">
        <v>0</v>
      </c>
      <c r="P120" s="215">
        <v>0</v>
      </c>
      <c r="Q120" s="215">
        <v>0</v>
      </c>
      <c r="R120" s="215">
        <v>0</v>
      </c>
    </row>
    <row r="121" spans="1:18" ht="20.100000000000001" customHeight="1" x14ac:dyDescent="0.25">
      <c r="A121" s="338">
        <f t="shared" si="5"/>
        <v>89</v>
      </c>
      <c r="B121" s="542" t="s">
        <v>264</v>
      </c>
      <c r="C121" s="351" t="s">
        <v>452</v>
      </c>
      <c r="D121" s="388" t="s">
        <v>108</v>
      </c>
      <c r="E121" s="77">
        <v>0</v>
      </c>
      <c r="F121" s="298"/>
      <c r="G121" s="478">
        <v>42500</v>
      </c>
      <c r="H121" s="550">
        <v>0.01</v>
      </c>
      <c r="I121" s="215"/>
      <c r="J121" s="215"/>
      <c r="K121" s="215"/>
      <c r="L121" s="215"/>
      <c r="M121" s="83"/>
      <c r="N121" s="215">
        <f t="shared" si="4"/>
        <v>0</v>
      </c>
      <c r="O121" s="215">
        <v>0</v>
      </c>
      <c r="P121" s="215">
        <v>0</v>
      </c>
      <c r="Q121" s="215">
        <v>0</v>
      </c>
      <c r="R121" s="215"/>
    </row>
    <row r="122" spans="1:18" ht="20.100000000000001" customHeight="1" x14ac:dyDescent="0.25">
      <c r="A122" s="338">
        <f t="shared" si="5"/>
        <v>90</v>
      </c>
      <c r="B122" s="542" t="s">
        <v>265</v>
      </c>
      <c r="C122" s="351" t="s">
        <v>453</v>
      </c>
      <c r="D122" s="388" t="s">
        <v>109</v>
      </c>
      <c r="E122" s="77">
        <v>0</v>
      </c>
      <c r="F122" s="298"/>
      <c r="G122" s="478">
        <v>43000</v>
      </c>
      <c r="H122" s="550">
        <v>0.01</v>
      </c>
      <c r="I122" s="215"/>
      <c r="J122" s="215"/>
      <c r="K122" s="215"/>
      <c r="L122" s="215"/>
      <c r="M122" s="83"/>
      <c r="N122" s="215">
        <f t="shared" si="4"/>
        <v>0</v>
      </c>
      <c r="O122" s="215">
        <v>0</v>
      </c>
      <c r="P122" s="215">
        <v>0</v>
      </c>
      <c r="Q122" s="215">
        <v>0</v>
      </c>
      <c r="R122" s="215">
        <v>0</v>
      </c>
    </row>
    <row r="123" spans="1:18" ht="20.100000000000001" customHeight="1" x14ac:dyDescent="0.25">
      <c r="A123" s="338">
        <f t="shared" si="5"/>
        <v>91</v>
      </c>
      <c r="B123" s="542" t="s">
        <v>266</v>
      </c>
      <c r="C123" s="351" t="s">
        <v>454</v>
      </c>
      <c r="D123" s="388" t="s">
        <v>110</v>
      </c>
      <c r="E123" s="77">
        <v>0</v>
      </c>
      <c r="F123" s="298"/>
      <c r="G123" s="478">
        <v>44000</v>
      </c>
      <c r="H123" s="550">
        <v>0.01</v>
      </c>
      <c r="I123" s="215"/>
      <c r="J123" s="215"/>
      <c r="K123" s="215"/>
      <c r="L123" s="215"/>
      <c r="M123" s="83"/>
      <c r="N123" s="215">
        <f t="shared" si="4"/>
        <v>0</v>
      </c>
      <c r="O123" s="215">
        <v>0</v>
      </c>
      <c r="P123" s="215">
        <v>0</v>
      </c>
      <c r="Q123" s="215">
        <v>0</v>
      </c>
      <c r="R123" s="215">
        <v>0</v>
      </c>
    </row>
    <row r="124" spans="1:18" ht="20.100000000000001" customHeight="1" x14ac:dyDescent="0.25">
      <c r="A124" s="338">
        <f t="shared" si="5"/>
        <v>92</v>
      </c>
      <c r="B124" s="542" t="s">
        <v>267</v>
      </c>
      <c r="C124" s="351" t="s">
        <v>455</v>
      </c>
      <c r="D124" s="388" t="s">
        <v>111</v>
      </c>
      <c r="E124" s="77">
        <v>0</v>
      </c>
      <c r="F124" s="298"/>
      <c r="G124" s="478">
        <v>45500</v>
      </c>
      <c r="H124" s="550">
        <v>0.01</v>
      </c>
      <c r="I124" s="215"/>
      <c r="J124" s="215"/>
      <c r="K124" s="215"/>
      <c r="L124" s="215"/>
      <c r="M124" s="83"/>
      <c r="N124" s="215">
        <f t="shared" si="4"/>
        <v>0</v>
      </c>
      <c r="O124" s="215">
        <v>0</v>
      </c>
      <c r="P124" s="215">
        <v>0</v>
      </c>
      <c r="Q124" s="215">
        <v>0</v>
      </c>
      <c r="R124" s="215">
        <v>0</v>
      </c>
    </row>
    <row r="125" spans="1:18" ht="20.100000000000001" customHeight="1" x14ac:dyDescent="0.25">
      <c r="A125" s="338">
        <f t="shared" si="5"/>
        <v>93</v>
      </c>
      <c r="B125" s="542" t="s">
        <v>268</v>
      </c>
      <c r="C125" s="351" t="s">
        <v>456</v>
      </c>
      <c r="D125" s="388" t="s">
        <v>112</v>
      </c>
      <c r="E125" s="77">
        <v>0</v>
      </c>
      <c r="F125" s="298"/>
      <c r="G125" s="478">
        <v>46300</v>
      </c>
      <c r="H125" s="550">
        <v>0.01</v>
      </c>
      <c r="I125" s="215"/>
      <c r="J125" s="215"/>
      <c r="K125" s="215"/>
      <c r="L125" s="215"/>
      <c r="M125" s="83">
        <v>0.05</v>
      </c>
      <c r="N125" s="215">
        <f>G125*M125</f>
        <v>2315</v>
      </c>
      <c r="O125" s="215">
        <v>0</v>
      </c>
      <c r="P125" s="215">
        <v>0</v>
      </c>
      <c r="Q125" s="215">
        <v>0</v>
      </c>
      <c r="R125" s="215">
        <v>0</v>
      </c>
    </row>
    <row r="126" spans="1:18" ht="20.100000000000001" customHeight="1" x14ac:dyDescent="0.25">
      <c r="A126" s="548">
        <f t="shared" si="5"/>
        <v>94</v>
      </c>
      <c r="B126" s="543" t="s">
        <v>269</v>
      </c>
      <c r="C126" s="346" t="s">
        <v>457</v>
      </c>
      <c r="D126" s="392" t="s">
        <v>113</v>
      </c>
      <c r="E126" s="364">
        <v>0</v>
      </c>
      <c r="F126" s="373"/>
      <c r="G126" s="479">
        <v>47000</v>
      </c>
      <c r="H126" s="551">
        <v>0.01</v>
      </c>
      <c r="I126" s="327"/>
      <c r="J126" s="327"/>
      <c r="K126" s="327"/>
      <c r="L126" s="327"/>
      <c r="M126" s="328">
        <v>0.15</v>
      </c>
      <c r="N126" s="327">
        <f t="shared" ref="N126" si="6">G126*M126</f>
        <v>7050</v>
      </c>
      <c r="O126" s="327">
        <v>0</v>
      </c>
      <c r="P126" s="327">
        <v>0</v>
      </c>
      <c r="Q126" s="327">
        <v>0</v>
      </c>
      <c r="R126" s="327">
        <v>0</v>
      </c>
    </row>
    <row r="127" spans="1:18" ht="20.100000000000001" customHeight="1" x14ac:dyDescent="0.25">
      <c r="A127" s="329"/>
      <c r="B127" s="323"/>
      <c r="C127" s="323"/>
      <c r="D127" s="333"/>
      <c r="E127" s="379"/>
      <c r="F127" s="389"/>
      <c r="G127" s="390"/>
      <c r="H127" s="324"/>
      <c r="I127" s="380"/>
      <c r="J127" s="380"/>
      <c r="K127" s="380"/>
      <c r="L127" s="380"/>
      <c r="M127" s="391"/>
      <c r="N127" s="380"/>
      <c r="O127" s="380"/>
      <c r="P127" s="380"/>
      <c r="Q127" s="380"/>
      <c r="R127" s="380"/>
    </row>
    <row r="128" spans="1:18" ht="32.1" customHeight="1" thickBot="1" x14ac:dyDescent="0.4">
      <c r="A128" s="393"/>
      <c r="B128" s="467" t="s">
        <v>335</v>
      </c>
      <c r="C128" s="374"/>
      <c r="D128" s="375"/>
      <c r="E128" s="302"/>
      <c r="F128" s="303"/>
      <c r="G128" s="304"/>
      <c r="H128" s="301"/>
      <c r="I128" s="376"/>
      <c r="J128" s="376"/>
      <c r="K128" s="376"/>
      <c r="L128" s="376"/>
      <c r="M128" s="377"/>
      <c r="N128" s="378"/>
      <c r="O128" s="378"/>
      <c r="P128" s="378"/>
      <c r="Q128" s="378"/>
      <c r="R128" s="378"/>
    </row>
    <row r="129" spans="1:18" ht="20.100000000000001" customHeight="1" x14ac:dyDescent="0.25">
      <c r="A129" s="32">
        <v>95</v>
      </c>
      <c r="B129" s="542" t="s">
        <v>270</v>
      </c>
      <c r="C129" s="343" t="s">
        <v>449</v>
      </c>
      <c r="D129" s="34" t="s">
        <v>105</v>
      </c>
      <c r="E129" s="77">
        <v>0</v>
      </c>
      <c r="F129" s="297"/>
      <c r="G129" s="477">
        <v>40000</v>
      </c>
      <c r="H129" s="549">
        <v>0.01</v>
      </c>
      <c r="I129" s="215"/>
      <c r="J129" s="215"/>
      <c r="K129" s="215"/>
      <c r="L129" s="215"/>
      <c r="M129" s="83"/>
      <c r="N129" s="215">
        <f t="shared" ref="N129:N141" si="7">G129*M129</f>
        <v>0</v>
      </c>
      <c r="O129" s="215">
        <v>0</v>
      </c>
      <c r="P129" s="215">
        <v>0</v>
      </c>
      <c r="Q129" s="215">
        <v>0</v>
      </c>
      <c r="R129" s="215">
        <v>0</v>
      </c>
    </row>
    <row r="130" spans="1:18" ht="20.100000000000001" customHeight="1" x14ac:dyDescent="0.25">
      <c r="A130" s="21">
        <f t="shared" ref="A130:A141" si="8">A129+1</f>
        <v>96</v>
      </c>
      <c r="B130" s="542" t="s">
        <v>271</v>
      </c>
      <c r="C130" s="351" t="s">
        <v>450</v>
      </c>
      <c r="D130" s="22" t="s">
        <v>106</v>
      </c>
      <c r="E130" s="77">
        <v>0</v>
      </c>
      <c r="F130" s="298"/>
      <c r="G130" s="478">
        <v>41000</v>
      </c>
      <c r="H130" s="550">
        <v>0.01</v>
      </c>
      <c r="I130" s="215"/>
      <c r="J130" s="215"/>
      <c r="K130" s="215"/>
      <c r="L130" s="215"/>
      <c r="M130" s="83"/>
      <c r="N130" s="215">
        <f t="shared" si="7"/>
        <v>0</v>
      </c>
      <c r="O130" s="215">
        <v>0</v>
      </c>
      <c r="P130" s="215">
        <v>0</v>
      </c>
      <c r="Q130" s="215">
        <v>0</v>
      </c>
      <c r="R130" s="215">
        <v>0</v>
      </c>
    </row>
    <row r="131" spans="1:18" ht="20.100000000000001" customHeight="1" x14ac:dyDescent="0.25">
      <c r="A131" s="21">
        <f t="shared" si="8"/>
        <v>97</v>
      </c>
      <c r="B131" s="542" t="s">
        <v>272</v>
      </c>
      <c r="C131" s="351" t="s">
        <v>451</v>
      </c>
      <c r="D131" s="22" t="s">
        <v>107</v>
      </c>
      <c r="E131" s="77">
        <v>0</v>
      </c>
      <c r="F131" s="298"/>
      <c r="G131" s="478">
        <v>41800</v>
      </c>
      <c r="H131" s="550">
        <v>0.01</v>
      </c>
      <c r="I131" s="215"/>
      <c r="J131" s="215"/>
      <c r="K131" s="215"/>
      <c r="L131" s="215"/>
      <c r="M131" s="83"/>
      <c r="N131" s="215">
        <f t="shared" si="7"/>
        <v>0</v>
      </c>
      <c r="O131" s="215">
        <v>0</v>
      </c>
      <c r="P131" s="215">
        <v>0</v>
      </c>
      <c r="Q131" s="215">
        <v>0</v>
      </c>
      <c r="R131" s="215">
        <v>0</v>
      </c>
    </row>
    <row r="132" spans="1:18" ht="20.100000000000001" customHeight="1" x14ac:dyDescent="0.25">
      <c r="A132" s="21">
        <f t="shared" si="8"/>
        <v>98</v>
      </c>
      <c r="B132" s="542" t="s">
        <v>273</v>
      </c>
      <c r="C132" s="351" t="s">
        <v>452</v>
      </c>
      <c r="D132" s="22" t="s">
        <v>108</v>
      </c>
      <c r="E132" s="53">
        <v>0</v>
      </c>
      <c r="F132" s="299"/>
      <c r="G132" s="478">
        <v>42500</v>
      </c>
      <c r="H132" s="550">
        <v>0.01</v>
      </c>
      <c r="I132" s="215"/>
      <c r="J132" s="215"/>
      <c r="K132" s="215"/>
      <c r="L132" s="215"/>
      <c r="M132" s="83"/>
      <c r="N132" s="215">
        <f t="shared" si="7"/>
        <v>0</v>
      </c>
      <c r="O132" s="215">
        <v>0</v>
      </c>
      <c r="P132" s="215">
        <v>0</v>
      </c>
      <c r="Q132" s="215">
        <v>0</v>
      </c>
      <c r="R132" s="215">
        <v>0</v>
      </c>
    </row>
    <row r="133" spans="1:18" ht="20.100000000000001" customHeight="1" x14ac:dyDescent="0.25">
      <c r="A133" s="21">
        <f t="shared" si="8"/>
        <v>99</v>
      </c>
      <c r="B133" s="542" t="s">
        <v>274</v>
      </c>
      <c r="C133" s="351" t="s">
        <v>453</v>
      </c>
      <c r="D133" s="22" t="s">
        <v>109</v>
      </c>
      <c r="E133" s="53">
        <v>0</v>
      </c>
      <c r="F133" s="299"/>
      <c r="G133" s="478">
        <v>42800</v>
      </c>
      <c r="H133" s="550">
        <v>0.01</v>
      </c>
      <c r="I133" s="215"/>
      <c r="J133" s="215"/>
      <c r="K133" s="215"/>
      <c r="L133" s="215"/>
      <c r="M133" s="83"/>
      <c r="N133" s="215">
        <f t="shared" si="7"/>
        <v>0</v>
      </c>
      <c r="O133" s="215">
        <v>0</v>
      </c>
      <c r="P133" s="215">
        <v>0</v>
      </c>
      <c r="Q133" s="215">
        <v>0</v>
      </c>
      <c r="R133" s="215">
        <v>0</v>
      </c>
    </row>
    <row r="134" spans="1:18" ht="20.100000000000001" customHeight="1" x14ac:dyDescent="0.25">
      <c r="A134" s="21">
        <f t="shared" si="8"/>
        <v>100</v>
      </c>
      <c r="B134" s="542" t="s">
        <v>275</v>
      </c>
      <c r="C134" s="351" t="s">
        <v>454</v>
      </c>
      <c r="D134" s="22" t="s">
        <v>110</v>
      </c>
      <c r="E134" s="53">
        <v>0</v>
      </c>
      <c r="F134" s="299"/>
      <c r="G134" s="478">
        <v>43200</v>
      </c>
      <c r="H134" s="550">
        <v>0.01</v>
      </c>
      <c r="I134" s="215"/>
      <c r="J134" s="215"/>
      <c r="K134" s="215"/>
      <c r="L134" s="215"/>
      <c r="M134" s="83"/>
      <c r="N134" s="215">
        <f t="shared" si="7"/>
        <v>0</v>
      </c>
      <c r="O134" s="215">
        <v>0</v>
      </c>
      <c r="P134" s="215">
        <v>0</v>
      </c>
      <c r="Q134" s="215">
        <v>0</v>
      </c>
      <c r="R134" s="215">
        <v>0</v>
      </c>
    </row>
    <row r="135" spans="1:18" ht="20.100000000000001" customHeight="1" x14ac:dyDescent="0.25">
      <c r="A135" s="21">
        <f t="shared" si="8"/>
        <v>101</v>
      </c>
      <c r="B135" s="542" t="s">
        <v>276</v>
      </c>
      <c r="C135" s="351" t="s">
        <v>455</v>
      </c>
      <c r="D135" s="22" t="s">
        <v>111</v>
      </c>
      <c r="E135" s="53">
        <v>0</v>
      </c>
      <c r="F135" s="299"/>
      <c r="G135" s="478">
        <v>43600</v>
      </c>
      <c r="H135" s="550">
        <v>0.01</v>
      </c>
      <c r="I135" s="215"/>
      <c r="J135" s="215"/>
      <c r="K135" s="215"/>
      <c r="L135" s="215"/>
      <c r="M135" s="83"/>
      <c r="N135" s="215">
        <f t="shared" si="7"/>
        <v>0</v>
      </c>
      <c r="O135" s="215">
        <v>0</v>
      </c>
      <c r="P135" s="215">
        <v>0</v>
      </c>
      <c r="Q135" s="215">
        <v>0</v>
      </c>
      <c r="R135" s="215">
        <v>0</v>
      </c>
    </row>
    <row r="136" spans="1:18" ht="20.100000000000001" customHeight="1" x14ac:dyDescent="0.25">
      <c r="A136" s="21">
        <f t="shared" si="8"/>
        <v>102</v>
      </c>
      <c r="B136" s="542" t="s">
        <v>277</v>
      </c>
      <c r="C136" s="351" t="s">
        <v>456</v>
      </c>
      <c r="D136" s="22" t="s">
        <v>112</v>
      </c>
      <c r="E136" s="53">
        <v>0</v>
      </c>
      <c r="F136" s="299"/>
      <c r="G136" s="478">
        <v>44100</v>
      </c>
      <c r="H136" s="550">
        <v>0.01</v>
      </c>
      <c r="I136" s="215"/>
      <c r="J136" s="215"/>
      <c r="K136" s="215"/>
      <c r="L136" s="215"/>
      <c r="M136" s="83"/>
      <c r="N136" s="215">
        <f t="shared" si="7"/>
        <v>0</v>
      </c>
      <c r="O136" s="215">
        <v>0</v>
      </c>
      <c r="P136" s="215">
        <v>0</v>
      </c>
      <c r="Q136" s="215">
        <v>0</v>
      </c>
      <c r="R136" s="215">
        <v>0</v>
      </c>
    </row>
    <row r="137" spans="1:18" ht="20.100000000000001" customHeight="1" x14ac:dyDescent="0.25">
      <c r="A137" s="21">
        <f t="shared" si="8"/>
        <v>103</v>
      </c>
      <c r="B137" s="542" t="s">
        <v>278</v>
      </c>
      <c r="C137" s="351" t="s">
        <v>457</v>
      </c>
      <c r="D137" s="22" t="s">
        <v>113</v>
      </c>
      <c r="E137" s="53">
        <v>0</v>
      </c>
      <c r="F137" s="299"/>
      <c r="G137" s="478">
        <v>44800</v>
      </c>
      <c r="H137" s="550">
        <v>0.01</v>
      </c>
      <c r="I137" s="215"/>
      <c r="J137" s="215"/>
      <c r="K137" s="215"/>
      <c r="L137" s="215"/>
      <c r="M137" s="83">
        <v>0.05</v>
      </c>
      <c r="N137" s="215">
        <f t="shared" si="7"/>
        <v>2240</v>
      </c>
      <c r="O137" s="215">
        <v>0</v>
      </c>
      <c r="P137" s="215">
        <v>0</v>
      </c>
      <c r="Q137" s="215">
        <v>0</v>
      </c>
      <c r="R137" s="215">
        <v>0</v>
      </c>
    </row>
    <row r="138" spans="1:18" ht="20.100000000000001" customHeight="1" x14ac:dyDescent="0.25">
      <c r="A138" s="21">
        <f t="shared" si="8"/>
        <v>104</v>
      </c>
      <c r="B138" s="542" t="s">
        <v>279</v>
      </c>
      <c r="C138" s="351" t="s">
        <v>458</v>
      </c>
      <c r="D138" s="22" t="s">
        <v>114</v>
      </c>
      <c r="E138" s="53">
        <v>0</v>
      </c>
      <c r="F138" s="299"/>
      <c r="G138" s="478">
        <v>45300</v>
      </c>
      <c r="H138" s="550">
        <v>0.01</v>
      </c>
      <c r="I138" s="215"/>
      <c r="J138" s="215"/>
      <c r="K138" s="215"/>
      <c r="L138" s="215"/>
      <c r="M138" s="83"/>
      <c r="N138" s="215">
        <f t="shared" si="7"/>
        <v>0</v>
      </c>
      <c r="O138" s="215">
        <v>0</v>
      </c>
      <c r="P138" s="215">
        <v>0</v>
      </c>
      <c r="Q138" s="215">
        <v>0</v>
      </c>
      <c r="R138" s="215">
        <v>0</v>
      </c>
    </row>
    <row r="139" spans="1:18" ht="20.100000000000001" customHeight="1" x14ac:dyDescent="0.25">
      <c r="A139" s="21">
        <f t="shared" si="8"/>
        <v>105</v>
      </c>
      <c r="B139" s="542" t="s">
        <v>280</v>
      </c>
      <c r="C139" s="351" t="s">
        <v>459</v>
      </c>
      <c r="D139" s="22" t="s">
        <v>115</v>
      </c>
      <c r="E139" s="53">
        <v>0</v>
      </c>
      <c r="F139" s="299"/>
      <c r="G139" s="478">
        <v>45700</v>
      </c>
      <c r="H139" s="550">
        <v>0.01</v>
      </c>
      <c r="I139" s="215"/>
      <c r="J139" s="215"/>
      <c r="K139" s="215"/>
      <c r="L139" s="215"/>
      <c r="M139" s="83">
        <v>0.15</v>
      </c>
      <c r="N139" s="215">
        <f t="shared" si="7"/>
        <v>6855</v>
      </c>
      <c r="O139" s="215">
        <v>0</v>
      </c>
      <c r="P139" s="215">
        <v>0</v>
      </c>
      <c r="Q139" s="215">
        <v>0</v>
      </c>
      <c r="R139" s="215">
        <v>0</v>
      </c>
    </row>
    <row r="140" spans="1:18" ht="20.100000000000001" customHeight="1" x14ac:dyDescent="0.25">
      <c r="A140" s="21">
        <f t="shared" si="8"/>
        <v>106</v>
      </c>
      <c r="B140" s="542" t="s">
        <v>281</v>
      </c>
      <c r="C140" s="351" t="s">
        <v>460</v>
      </c>
      <c r="D140" s="22" t="s">
        <v>116</v>
      </c>
      <c r="E140" s="53">
        <v>0</v>
      </c>
      <c r="F140" s="299"/>
      <c r="G140" s="478">
        <v>46000</v>
      </c>
      <c r="H140" s="550">
        <v>0.01</v>
      </c>
      <c r="I140" s="215"/>
      <c r="J140" s="215"/>
      <c r="K140" s="215"/>
      <c r="L140" s="215"/>
      <c r="M140" s="83"/>
      <c r="N140" s="215">
        <f t="shared" si="7"/>
        <v>0</v>
      </c>
      <c r="O140" s="215">
        <v>0</v>
      </c>
      <c r="P140" s="215">
        <v>0</v>
      </c>
      <c r="Q140" s="215">
        <v>0</v>
      </c>
      <c r="R140" s="215">
        <v>0</v>
      </c>
    </row>
    <row r="141" spans="1:18" ht="20.100000000000001" customHeight="1" x14ac:dyDescent="0.25">
      <c r="A141" s="37">
        <f t="shared" si="8"/>
        <v>107</v>
      </c>
      <c r="B141" s="543" t="s">
        <v>282</v>
      </c>
      <c r="C141" s="346" t="s">
        <v>461</v>
      </c>
      <c r="D141" s="39" t="s">
        <v>117</v>
      </c>
      <c r="E141" s="325">
        <v>0</v>
      </c>
      <c r="F141" s="326"/>
      <c r="G141" s="479">
        <v>46700</v>
      </c>
      <c r="H141" s="551">
        <v>0.01</v>
      </c>
      <c r="I141" s="327"/>
      <c r="J141" s="327"/>
      <c r="K141" s="327"/>
      <c r="L141" s="327"/>
      <c r="M141" s="328"/>
      <c r="N141" s="327">
        <f t="shared" si="7"/>
        <v>0</v>
      </c>
      <c r="O141" s="327">
        <v>0</v>
      </c>
      <c r="P141" s="327">
        <v>0</v>
      </c>
      <c r="Q141" s="327">
        <v>0</v>
      </c>
      <c r="R141" s="327">
        <v>0</v>
      </c>
    </row>
    <row r="142" spans="1:18" ht="15.95" customHeight="1" x14ac:dyDescent="0.25">
      <c r="A142" s="329"/>
      <c r="B142" s="323"/>
      <c r="C142" s="323"/>
      <c r="D142" s="333"/>
      <c r="E142" s="334"/>
      <c r="F142" s="335"/>
      <c r="G142" s="336"/>
    </row>
  </sheetData>
  <mergeCells count="1">
    <mergeCell ref="A2:B2"/>
  </mergeCells>
  <phoneticPr fontId="7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9CF44-4D6E-45F8-880F-E5F79A6D598D}">
  <sheetPr>
    <tabColor rgb="FF00FF00"/>
  </sheetPr>
  <dimension ref="B1:R16"/>
  <sheetViews>
    <sheetView showGridLines="0" zoomScaleNormal="100" workbookViewId="0">
      <selection activeCell="H2" sqref="H2"/>
    </sheetView>
  </sheetViews>
  <sheetFormatPr defaultRowHeight="15" x14ac:dyDescent="0.25"/>
  <cols>
    <col min="2" max="2" width="8.7109375" customWidth="1"/>
    <col min="3" max="3" width="2.7109375" customWidth="1"/>
    <col min="4" max="7" width="16.7109375" customWidth="1"/>
    <col min="8" max="8" width="32.7109375" customWidth="1"/>
    <col min="9" max="9" width="2.7109375" customWidth="1"/>
    <col min="10" max="10" width="8.7109375" customWidth="1"/>
    <col min="11" max="11" width="2.7109375" customWidth="1"/>
    <col min="12" max="15" width="16.7109375" customWidth="1"/>
    <col min="16" max="16" width="32.7109375" customWidth="1"/>
    <col min="17" max="17" width="2.7109375" customWidth="1"/>
    <col min="18" max="18" width="8.7109375" customWidth="1"/>
  </cols>
  <sheetData>
    <row r="1" spans="2:18" ht="15.75" thickBot="1" x14ac:dyDescent="0.3"/>
    <row r="2" spans="2:18" ht="36" customHeight="1" x14ac:dyDescent="0.5">
      <c r="B2" s="602"/>
      <c r="C2" s="603"/>
      <c r="D2" s="603" t="s">
        <v>506</v>
      </c>
      <c r="E2" s="603"/>
      <c r="F2" s="603"/>
      <c r="G2" s="603"/>
      <c r="H2" s="603"/>
      <c r="I2" s="603"/>
      <c r="J2" s="603"/>
      <c r="K2" s="603"/>
      <c r="L2" s="603"/>
      <c r="M2" s="603"/>
      <c r="N2" s="603"/>
      <c r="O2" s="603"/>
      <c r="P2" s="603"/>
      <c r="Q2" s="604"/>
      <c r="R2" s="604"/>
    </row>
    <row r="3" spans="2:18" ht="15.75" thickBot="1" x14ac:dyDescent="0.3">
      <c r="B3" s="605"/>
      <c r="R3" s="606"/>
    </row>
    <row r="4" spans="2:18" ht="12" customHeight="1" x14ac:dyDescent="0.25">
      <c r="B4" s="605"/>
      <c r="C4" s="607"/>
      <c r="D4" s="608"/>
      <c r="E4" s="608"/>
      <c r="F4" s="608"/>
      <c r="G4" s="608"/>
      <c r="H4" s="608"/>
      <c r="I4" s="609"/>
      <c r="K4" s="610"/>
      <c r="L4" s="611"/>
      <c r="M4" s="611"/>
      <c r="N4" s="611"/>
      <c r="O4" s="611"/>
      <c r="P4" s="611"/>
      <c r="Q4" s="612"/>
      <c r="R4" s="606"/>
    </row>
    <row r="5" spans="2:18" ht="24" customHeight="1" x14ac:dyDescent="0.25">
      <c r="B5" s="605"/>
      <c r="C5" s="613"/>
      <c r="D5" s="718" t="s">
        <v>507</v>
      </c>
      <c r="E5" s="718"/>
      <c r="F5" s="718"/>
      <c r="G5" s="718"/>
      <c r="H5" s="718"/>
      <c r="I5" s="614"/>
      <c r="K5" s="615"/>
      <c r="L5" s="719" t="s">
        <v>508</v>
      </c>
      <c r="M5" s="719"/>
      <c r="N5" s="719"/>
      <c r="O5" s="719"/>
      <c r="P5" s="719"/>
      <c r="Q5" s="616"/>
      <c r="R5" s="606"/>
    </row>
    <row r="6" spans="2:18" ht="15.75" thickBot="1" x14ac:dyDescent="0.3">
      <c r="B6" s="605"/>
      <c r="C6" s="613"/>
      <c r="I6" s="614"/>
      <c r="K6" s="615"/>
      <c r="Q6" s="616"/>
      <c r="R6" s="606"/>
    </row>
    <row r="7" spans="2:18" ht="32.1" customHeight="1" x14ac:dyDescent="0.25">
      <c r="B7" s="605"/>
      <c r="C7" s="613"/>
      <c r="D7" s="720" t="s">
        <v>509</v>
      </c>
      <c r="E7" s="721"/>
      <c r="F7" s="722" t="s">
        <v>510</v>
      </c>
      <c r="G7" s="721"/>
      <c r="H7" s="723" t="s">
        <v>511</v>
      </c>
      <c r="I7" s="614"/>
      <c r="K7" s="615"/>
      <c r="L7" s="720" t="s">
        <v>509</v>
      </c>
      <c r="M7" s="721"/>
      <c r="N7" s="722" t="s">
        <v>510</v>
      </c>
      <c r="O7" s="721"/>
      <c r="P7" s="723" t="s">
        <v>511</v>
      </c>
      <c r="Q7" s="616"/>
      <c r="R7" s="606"/>
    </row>
    <row r="8" spans="2:18" ht="15.75" thickBot="1" x14ac:dyDescent="0.3">
      <c r="B8" s="605"/>
      <c r="C8" s="613"/>
      <c r="D8" s="617" t="s">
        <v>512</v>
      </c>
      <c r="E8" s="618" t="s">
        <v>513</v>
      </c>
      <c r="F8" s="619" t="s">
        <v>512</v>
      </c>
      <c r="G8" s="619" t="s">
        <v>513</v>
      </c>
      <c r="H8" s="724"/>
      <c r="I8" s="614"/>
      <c r="K8" s="615"/>
      <c r="L8" s="617" t="s">
        <v>512</v>
      </c>
      <c r="M8" s="618" t="s">
        <v>513</v>
      </c>
      <c r="N8" s="619" t="s">
        <v>512</v>
      </c>
      <c r="O8" s="619" t="s">
        <v>513</v>
      </c>
      <c r="P8" s="724"/>
      <c r="Q8" s="616"/>
      <c r="R8" s="606"/>
    </row>
    <row r="9" spans="2:18" ht="48" customHeight="1" thickBot="1" x14ac:dyDescent="0.3">
      <c r="B9" s="605"/>
      <c r="C9" s="613"/>
      <c r="D9" s="620">
        <v>0</v>
      </c>
      <c r="E9" s="621" t="s">
        <v>514</v>
      </c>
      <c r="F9" s="622">
        <v>0</v>
      </c>
      <c r="G9" s="621" t="s">
        <v>514</v>
      </c>
      <c r="H9" s="623">
        <v>0</v>
      </c>
      <c r="I9" s="614"/>
      <c r="K9" s="615"/>
      <c r="L9" s="620">
        <v>0</v>
      </c>
      <c r="M9" s="621" t="s">
        <v>515</v>
      </c>
      <c r="N9" s="622">
        <v>0</v>
      </c>
      <c r="O9" s="621" t="s">
        <v>515</v>
      </c>
      <c r="P9" s="624">
        <v>0</v>
      </c>
      <c r="Q9" s="616"/>
      <c r="R9" s="606"/>
    </row>
    <row r="10" spans="2:18" ht="48" customHeight="1" x14ac:dyDescent="0.25">
      <c r="B10" s="605"/>
      <c r="C10" s="613"/>
      <c r="D10" s="708" t="s">
        <v>516</v>
      </c>
      <c r="E10" s="710" t="s">
        <v>515</v>
      </c>
      <c r="F10" s="625">
        <v>0</v>
      </c>
      <c r="G10" s="626" t="s">
        <v>517</v>
      </c>
      <c r="H10" s="627">
        <v>0</v>
      </c>
      <c r="I10" s="614"/>
      <c r="K10" s="615"/>
      <c r="L10" s="708" t="s">
        <v>518</v>
      </c>
      <c r="M10" s="710" t="s">
        <v>519</v>
      </c>
      <c r="N10" s="625">
        <v>0</v>
      </c>
      <c r="O10" s="626" t="s">
        <v>520</v>
      </c>
      <c r="P10" s="628">
        <v>0</v>
      </c>
      <c r="Q10" s="616"/>
      <c r="R10" s="606"/>
    </row>
    <row r="11" spans="2:18" ht="48" customHeight="1" thickBot="1" x14ac:dyDescent="0.3">
      <c r="B11" s="605"/>
      <c r="C11" s="613"/>
      <c r="D11" s="709"/>
      <c r="E11" s="711"/>
      <c r="F11" s="629" t="s">
        <v>521</v>
      </c>
      <c r="G11" s="630" t="s">
        <v>515</v>
      </c>
      <c r="H11" s="631" t="s">
        <v>522</v>
      </c>
      <c r="I11" s="614"/>
      <c r="K11" s="615"/>
      <c r="L11" s="709"/>
      <c r="M11" s="711"/>
      <c r="N11" s="629" t="s">
        <v>523</v>
      </c>
      <c r="O11" s="630" t="s">
        <v>519</v>
      </c>
      <c r="P11" s="631" t="s">
        <v>524</v>
      </c>
      <c r="Q11" s="616"/>
      <c r="R11" s="606"/>
    </row>
    <row r="12" spans="2:18" ht="48" customHeight="1" x14ac:dyDescent="0.25">
      <c r="B12" s="605"/>
      <c r="C12" s="613"/>
      <c r="D12" s="712" t="s">
        <v>518</v>
      </c>
      <c r="E12" s="715" t="s">
        <v>525</v>
      </c>
      <c r="F12" s="632">
        <v>0</v>
      </c>
      <c r="G12" s="633" t="s">
        <v>517</v>
      </c>
      <c r="H12" s="634">
        <v>0</v>
      </c>
      <c r="I12" s="614"/>
      <c r="K12" s="615"/>
      <c r="L12" s="712" t="s">
        <v>526</v>
      </c>
      <c r="M12" s="715" t="s">
        <v>525</v>
      </c>
      <c r="N12" s="632">
        <v>0</v>
      </c>
      <c r="O12" s="633" t="s">
        <v>517</v>
      </c>
      <c r="P12" s="635">
        <v>0</v>
      </c>
      <c r="Q12" s="616"/>
      <c r="R12" s="606"/>
    </row>
    <row r="13" spans="2:18" ht="48" customHeight="1" x14ac:dyDescent="0.25">
      <c r="B13" s="605"/>
      <c r="C13" s="613"/>
      <c r="D13" s="713"/>
      <c r="E13" s="716"/>
      <c r="F13" s="636" t="s">
        <v>521</v>
      </c>
      <c r="G13" s="637" t="s">
        <v>527</v>
      </c>
      <c r="H13" s="638" t="s">
        <v>528</v>
      </c>
      <c r="I13" s="614"/>
      <c r="K13" s="615"/>
      <c r="L13" s="713"/>
      <c r="M13" s="716"/>
      <c r="N13" s="636" t="s">
        <v>521</v>
      </c>
      <c r="O13" s="637" t="s">
        <v>527</v>
      </c>
      <c r="P13" s="638" t="s">
        <v>529</v>
      </c>
      <c r="Q13" s="616"/>
      <c r="R13" s="606"/>
    </row>
    <row r="14" spans="2:18" ht="48" customHeight="1" thickBot="1" x14ac:dyDescent="0.3">
      <c r="B14" s="605"/>
      <c r="C14" s="613"/>
      <c r="D14" s="714"/>
      <c r="E14" s="717"/>
      <c r="F14" s="639" t="s">
        <v>530</v>
      </c>
      <c r="G14" s="640" t="s">
        <v>525</v>
      </c>
      <c r="H14" s="641" t="s">
        <v>531</v>
      </c>
      <c r="I14" s="614"/>
      <c r="K14" s="615"/>
      <c r="L14" s="714"/>
      <c r="M14" s="717"/>
      <c r="N14" s="639" t="s">
        <v>530</v>
      </c>
      <c r="O14" s="640" t="s">
        <v>525</v>
      </c>
      <c r="P14" s="641" t="s">
        <v>532</v>
      </c>
      <c r="Q14" s="616"/>
      <c r="R14" s="606"/>
    </row>
    <row r="15" spans="2:18" ht="12" customHeight="1" thickBot="1" x14ac:dyDescent="0.3">
      <c r="B15" s="605"/>
      <c r="C15" s="642"/>
      <c r="D15" s="643"/>
      <c r="E15" s="643"/>
      <c r="F15" s="643"/>
      <c r="G15" s="643"/>
      <c r="H15" s="643"/>
      <c r="I15" s="644"/>
      <c r="K15" s="645"/>
      <c r="L15" s="646"/>
      <c r="M15" s="646"/>
      <c r="N15" s="646"/>
      <c r="O15" s="646"/>
      <c r="P15" s="646"/>
      <c r="Q15" s="647"/>
      <c r="R15" s="606"/>
    </row>
    <row r="16" spans="2:18" ht="48" customHeight="1" thickBot="1" x14ac:dyDescent="0.3">
      <c r="B16" s="648"/>
      <c r="C16" s="649"/>
      <c r="D16" s="649"/>
      <c r="E16" s="649"/>
      <c r="F16" s="649"/>
      <c r="G16" s="649"/>
      <c r="H16" s="649"/>
      <c r="I16" s="649"/>
      <c r="J16" s="649"/>
      <c r="K16" s="649"/>
      <c r="L16" s="649"/>
      <c r="M16" s="649"/>
      <c r="N16" s="649"/>
      <c r="O16" s="649"/>
      <c r="P16" s="649"/>
      <c r="Q16" s="649"/>
      <c r="R16" s="650"/>
    </row>
  </sheetData>
  <mergeCells count="16">
    <mergeCell ref="D5:H5"/>
    <mergeCell ref="L5:P5"/>
    <mergeCell ref="D7:E7"/>
    <mergeCell ref="F7:G7"/>
    <mergeCell ref="H7:H8"/>
    <mergeCell ref="L7:M7"/>
    <mergeCell ref="N7:O7"/>
    <mergeCell ref="P7:P8"/>
    <mergeCell ref="D10:D11"/>
    <mergeCell ref="E10:E11"/>
    <mergeCell ref="L10:L11"/>
    <mergeCell ref="M10:M11"/>
    <mergeCell ref="D12:D14"/>
    <mergeCell ref="E12:E14"/>
    <mergeCell ref="L12:L14"/>
    <mergeCell ref="M12:M1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55384-48E6-49D8-87E5-1729FBD922FA}">
  <sheetPr>
    <tabColor rgb="FFCCFF99"/>
  </sheetPr>
  <dimension ref="A1:P80"/>
  <sheetViews>
    <sheetView showGridLines="0" topLeftCell="A28" zoomScale="115" zoomScaleNormal="115" workbookViewId="0">
      <selection activeCell="N4" sqref="N4"/>
    </sheetView>
  </sheetViews>
  <sheetFormatPr defaultRowHeight="15" x14ac:dyDescent="0.25"/>
  <cols>
    <col min="1" max="5" width="16.7109375" customWidth="1"/>
    <col min="6" max="6" width="1.7109375" customWidth="1"/>
    <col min="7" max="7" width="56.7109375" customWidth="1"/>
    <col min="8" max="8" width="2.7109375" customWidth="1"/>
    <col min="9" max="9" width="10.7109375" customWidth="1"/>
    <col min="10" max="10" width="13.42578125" customWidth="1"/>
    <col min="11" max="11" width="2.7109375" customWidth="1"/>
    <col min="13" max="16" width="9.140625" style="401"/>
  </cols>
  <sheetData>
    <row r="1" spans="1:15" ht="32.1" customHeight="1" x14ac:dyDescent="0.5">
      <c r="A1" s="725" t="s">
        <v>447</v>
      </c>
      <c r="B1" s="725"/>
      <c r="C1" s="725"/>
      <c r="D1" s="725"/>
      <c r="E1" s="725"/>
      <c r="G1" s="731" t="s">
        <v>446</v>
      </c>
      <c r="H1" s="448"/>
      <c r="I1" s="732" t="s">
        <v>445</v>
      </c>
      <c r="J1" s="732"/>
      <c r="K1" s="448"/>
    </row>
    <row r="2" spans="1:15" ht="32.1" customHeight="1" x14ac:dyDescent="0.25">
      <c r="A2" s="729" t="s">
        <v>448</v>
      </c>
      <c r="B2" s="730"/>
      <c r="C2" s="730"/>
      <c r="D2" s="730"/>
      <c r="E2" s="730"/>
      <c r="G2" s="731"/>
      <c r="H2" s="448"/>
      <c r="I2" s="449" t="s">
        <v>444</v>
      </c>
      <c r="J2" s="449" t="s">
        <v>443</v>
      </c>
      <c r="K2" s="448"/>
    </row>
    <row r="3" spans="1:15" ht="12" customHeight="1" x14ac:dyDescent="0.25">
      <c r="G3" s="447"/>
      <c r="H3" s="447"/>
      <c r="I3" s="447"/>
      <c r="J3" s="447"/>
    </row>
    <row r="4" spans="1:15" ht="32.1" customHeight="1" thickBot="1" x14ac:dyDescent="0.3">
      <c r="A4" s="446" t="s">
        <v>442</v>
      </c>
      <c r="B4" s="445" t="s">
        <v>441</v>
      </c>
      <c r="C4" s="444" t="s">
        <v>440</v>
      </c>
      <c r="D4" s="444" t="s">
        <v>439</v>
      </c>
      <c r="E4" s="444" t="s">
        <v>438</v>
      </c>
      <c r="G4" s="443"/>
      <c r="H4" s="443"/>
      <c r="I4" s="443"/>
      <c r="J4" s="443"/>
    </row>
    <row r="5" spans="1:15" ht="15.95" customHeight="1" x14ac:dyDescent="0.25">
      <c r="A5" s="442">
        <v>0</v>
      </c>
      <c r="B5" s="441">
        <f t="shared" ref="B5" si="0">IF(A5&lt;=10,A5*1%,IF(A5&lt;=20,10%+(A5-10)*0.5%,IF(A5&lt;=30,15%+(A5-20)*0.25%,17.5%)))</f>
        <v>0</v>
      </c>
      <c r="C5" s="440">
        <v>10000</v>
      </c>
      <c r="D5" s="439">
        <f t="shared" ref="D5:D15" si="1">C5*B5</f>
        <v>0</v>
      </c>
      <c r="E5" s="439">
        <f t="shared" ref="E5:E15" si="2">C5+D5</f>
        <v>10000</v>
      </c>
      <c r="G5" s="438" t="s">
        <v>437</v>
      </c>
      <c r="H5" s="404"/>
      <c r="I5" s="404"/>
      <c r="J5" s="404"/>
    </row>
    <row r="6" spans="1:15" ht="20.100000000000001" customHeight="1" x14ac:dyDescent="0.25">
      <c r="A6" s="434">
        <v>1</v>
      </c>
      <c r="B6" s="433">
        <f>IF(A6&lt;=10,A6*0.6%,IF(A6&lt;=20,6%+(A6-10)*0.8%,IF(A6&lt;=30,14%+(A6-20)*1%,24%)))</f>
        <v>6.0000000000000001E-3</v>
      </c>
      <c r="C6" s="432">
        <f t="shared" ref="C6:C15" si="3">C5</f>
        <v>10000</v>
      </c>
      <c r="D6" s="432">
        <f t="shared" si="1"/>
        <v>60</v>
      </c>
      <c r="E6" s="432">
        <f t="shared" si="2"/>
        <v>10060</v>
      </c>
      <c r="G6" s="415" t="s">
        <v>481</v>
      </c>
      <c r="H6" s="404"/>
      <c r="I6" s="726" t="s">
        <v>490</v>
      </c>
      <c r="J6" s="534">
        <v>6.0000000000000001E-3</v>
      </c>
    </row>
    <row r="7" spans="1:15" ht="20.100000000000001" customHeight="1" x14ac:dyDescent="0.25">
      <c r="A7" s="431">
        <v>2</v>
      </c>
      <c r="B7" s="430">
        <f t="shared" ref="B7:B53" si="4">IF(A7&lt;=10,A7*0.6%,IF(A7&lt;=20,6%+(A7-10)*0.8%,IF(A7&lt;=30,14%+(A7-20)*1%,24%)))</f>
        <v>1.2E-2</v>
      </c>
      <c r="C7" s="429">
        <f t="shared" si="3"/>
        <v>10000</v>
      </c>
      <c r="D7" s="429">
        <f t="shared" si="1"/>
        <v>120</v>
      </c>
      <c r="E7" s="429">
        <f t="shared" si="2"/>
        <v>10120</v>
      </c>
      <c r="G7" s="405" t="s">
        <v>482</v>
      </c>
      <c r="H7" s="404"/>
      <c r="I7" s="727"/>
      <c r="J7" s="535">
        <v>1.2E-2</v>
      </c>
    </row>
    <row r="8" spans="1:15" ht="20.100000000000001" customHeight="1" x14ac:dyDescent="0.25">
      <c r="A8" s="431">
        <v>3</v>
      </c>
      <c r="B8" s="430">
        <f t="shared" si="4"/>
        <v>1.8000000000000002E-2</v>
      </c>
      <c r="C8" s="429">
        <f t="shared" si="3"/>
        <v>10000</v>
      </c>
      <c r="D8" s="429">
        <f t="shared" si="1"/>
        <v>180.00000000000003</v>
      </c>
      <c r="E8" s="429">
        <f t="shared" si="2"/>
        <v>10180</v>
      </c>
      <c r="G8" s="405"/>
      <c r="H8" s="404"/>
      <c r="I8" s="727"/>
      <c r="J8" s="535">
        <v>1.8000000000000002E-2</v>
      </c>
    </row>
    <row r="9" spans="1:15" ht="20.100000000000001" customHeight="1" x14ac:dyDescent="0.25">
      <c r="A9" s="431">
        <v>4</v>
      </c>
      <c r="B9" s="430">
        <f t="shared" si="4"/>
        <v>2.4E-2</v>
      </c>
      <c r="C9" s="429">
        <f t="shared" si="3"/>
        <v>10000</v>
      </c>
      <c r="D9" s="429">
        <f t="shared" si="1"/>
        <v>240</v>
      </c>
      <c r="E9" s="429">
        <f t="shared" si="2"/>
        <v>10240</v>
      </c>
      <c r="G9" s="405"/>
      <c r="H9" s="404"/>
      <c r="I9" s="727"/>
      <c r="J9" s="535">
        <v>2.4E-2</v>
      </c>
      <c r="O9" s="401" t="s">
        <v>310</v>
      </c>
    </row>
    <row r="10" spans="1:15" ht="20.100000000000001" customHeight="1" x14ac:dyDescent="0.25">
      <c r="A10" s="431">
        <v>5</v>
      </c>
      <c r="B10" s="430">
        <f t="shared" si="4"/>
        <v>0.03</v>
      </c>
      <c r="C10" s="429">
        <f t="shared" si="3"/>
        <v>10000</v>
      </c>
      <c r="D10" s="429">
        <f t="shared" si="1"/>
        <v>300</v>
      </c>
      <c r="E10" s="429">
        <f t="shared" si="2"/>
        <v>10300</v>
      </c>
      <c r="G10" s="405"/>
      <c r="H10" s="404"/>
      <c r="I10" s="727"/>
      <c r="J10" s="535">
        <v>0.03</v>
      </c>
    </row>
    <row r="11" spans="1:15" ht="20.100000000000001" customHeight="1" x14ac:dyDescent="0.25">
      <c r="A11" s="431">
        <v>6</v>
      </c>
      <c r="B11" s="430">
        <f t="shared" si="4"/>
        <v>3.6000000000000004E-2</v>
      </c>
      <c r="C11" s="429">
        <f t="shared" si="3"/>
        <v>10000</v>
      </c>
      <c r="D11" s="429">
        <f t="shared" si="1"/>
        <v>360.00000000000006</v>
      </c>
      <c r="E11" s="429">
        <f t="shared" si="2"/>
        <v>10360</v>
      </c>
      <c r="G11" s="405"/>
      <c r="H11" s="404"/>
      <c r="I11" s="727"/>
      <c r="J11" s="535">
        <v>3.6000000000000004E-2</v>
      </c>
    </row>
    <row r="12" spans="1:15" ht="20.100000000000001" customHeight="1" x14ac:dyDescent="0.25">
      <c r="A12" s="431">
        <v>7</v>
      </c>
      <c r="B12" s="430">
        <f t="shared" si="4"/>
        <v>4.2000000000000003E-2</v>
      </c>
      <c r="C12" s="429">
        <f t="shared" si="3"/>
        <v>10000</v>
      </c>
      <c r="D12" s="429">
        <f t="shared" si="1"/>
        <v>420</v>
      </c>
      <c r="E12" s="429">
        <f t="shared" si="2"/>
        <v>10420</v>
      </c>
      <c r="G12" s="405"/>
      <c r="H12" s="404"/>
      <c r="I12" s="727"/>
      <c r="J12" s="535">
        <v>4.2000000000000003E-2</v>
      </c>
    </row>
    <row r="13" spans="1:15" ht="20.100000000000001" customHeight="1" x14ac:dyDescent="0.25">
      <c r="A13" s="431">
        <v>8</v>
      </c>
      <c r="B13" s="430">
        <f t="shared" si="4"/>
        <v>4.8000000000000001E-2</v>
      </c>
      <c r="C13" s="429">
        <f t="shared" si="3"/>
        <v>10000</v>
      </c>
      <c r="D13" s="429">
        <f t="shared" si="1"/>
        <v>480</v>
      </c>
      <c r="E13" s="429">
        <f t="shared" si="2"/>
        <v>10480</v>
      </c>
      <c r="G13" s="405"/>
      <c r="H13" s="404"/>
      <c r="I13" s="727"/>
      <c r="J13" s="535">
        <v>4.8000000000000001E-2</v>
      </c>
    </row>
    <row r="14" spans="1:15" ht="20.100000000000001" customHeight="1" x14ac:dyDescent="0.25">
      <c r="A14" s="431">
        <v>9</v>
      </c>
      <c r="B14" s="430">
        <f t="shared" si="4"/>
        <v>5.3999999999999999E-2</v>
      </c>
      <c r="C14" s="429">
        <f t="shared" si="3"/>
        <v>10000</v>
      </c>
      <c r="D14" s="429">
        <f t="shared" si="1"/>
        <v>540</v>
      </c>
      <c r="E14" s="429">
        <f t="shared" si="2"/>
        <v>10540</v>
      </c>
      <c r="G14" s="405"/>
      <c r="H14" s="404"/>
      <c r="I14" s="727"/>
      <c r="J14" s="535">
        <v>5.3999999999999999E-2</v>
      </c>
    </row>
    <row r="15" spans="1:15" ht="20.100000000000001" customHeight="1" x14ac:dyDescent="0.25">
      <c r="A15" s="428">
        <v>10</v>
      </c>
      <c r="B15" s="427">
        <f t="shared" si="4"/>
        <v>0.06</v>
      </c>
      <c r="C15" s="426">
        <f t="shared" si="3"/>
        <v>10000</v>
      </c>
      <c r="D15" s="426">
        <f t="shared" si="1"/>
        <v>600</v>
      </c>
      <c r="E15" s="426">
        <f t="shared" si="2"/>
        <v>10600</v>
      </c>
      <c r="G15" s="425" t="s">
        <v>483</v>
      </c>
      <c r="H15" s="404"/>
      <c r="I15" s="728"/>
      <c r="J15" s="568">
        <v>0.06</v>
      </c>
    </row>
    <row r="16" spans="1:15" ht="8.1" customHeight="1" x14ac:dyDescent="0.25">
      <c r="A16" s="424"/>
      <c r="B16" s="423"/>
      <c r="C16" s="422"/>
      <c r="D16" s="422"/>
      <c r="E16" s="422"/>
      <c r="G16" s="421"/>
      <c r="H16" s="404"/>
      <c r="I16" s="437"/>
      <c r="J16" s="536"/>
    </row>
    <row r="17" spans="1:10" ht="20.100000000000001" customHeight="1" x14ac:dyDescent="0.25">
      <c r="A17" s="434">
        <v>11</v>
      </c>
      <c r="B17" s="433">
        <f t="shared" si="4"/>
        <v>6.8000000000000005E-2</v>
      </c>
      <c r="C17" s="432">
        <f>C15</f>
        <v>10000</v>
      </c>
      <c r="D17" s="432">
        <f t="shared" ref="D17:D26" si="5">C17*B17</f>
        <v>680</v>
      </c>
      <c r="E17" s="432">
        <f t="shared" ref="E17:E26" si="6">C17+D17</f>
        <v>10680</v>
      </c>
      <c r="G17" s="415" t="s">
        <v>484</v>
      </c>
      <c r="H17" s="404"/>
      <c r="I17" s="726" t="s">
        <v>491</v>
      </c>
      <c r="J17" s="534">
        <v>6.8000000000000005E-2</v>
      </c>
    </row>
    <row r="18" spans="1:10" ht="20.100000000000001" customHeight="1" x14ac:dyDescent="0.25">
      <c r="A18" s="431">
        <v>12</v>
      </c>
      <c r="B18" s="430">
        <f t="shared" si="4"/>
        <v>7.5999999999999998E-2</v>
      </c>
      <c r="C18" s="429">
        <f t="shared" ref="C18:C26" si="7">C17</f>
        <v>10000</v>
      </c>
      <c r="D18" s="429">
        <f t="shared" si="5"/>
        <v>760</v>
      </c>
      <c r="E18" s="429">
        <f t="shared" si="6"/>
        <v>10760</v>
      </c>
      <c r="G18" s="405" t="s">
        <v>485</v>
      </c>
      <c r="H18" s="404"/>
      <c r="I18" s="727"/>
      <c r="J18" s="535">
        <v>7.5999999999999998E-2</v>
      </c>
    </row>
    <row r="19" spans="1:10" ht="20.100000000000001" customHeight="1" x14ac:dyDescent="0.25">
      <c r="A19" s="431">
        <v>13</v>
      </c>
      <c r="B19" s="430">
        <f t="shared" si="4"/>
        <v>8.3999999999999991E-2</v>
      </c>
      <c r="C19" s="429">
        <f t="shared" si="7"/>
        <v>10000</v>
      </c>
      <c r="D19" s="429">
        <f t="shared" si="5"/>
        <v>839.99999999999989</v>
      </c>
      <c r="E19" s="429">
        <f t="shared" si="6"/>
        <v>10840</v>
      </c>
      <c r="G19" s="405"/>
      <c r="H19" s="404"/>
      <c r="I19" s="727"/>
      <c r="J19" s="535">
        <v>8.3999999999999991E-2</v>
      </c>
    </row>
    <row r="20" spans="1:10" ht="20.100000000000001" customHeight="1" x14ac:dyDescent="0.25">
      <c r="A20" s="431">
        <v>14</v>
      </c>
      <c r="B20" s="430">
        <f t="shared" si="4"/>
        <v>9.1999999999999998E-2</v>
      </c>
      <c r="C20" s="429">
        <f t="shared" si="7"/>
        <v>10000</v>
      </c>
      <c r="D20" s="429">
        <f t="shared" si="5"/>
        <v>920</v>
      </c>
      <c r="E20" s="429">
        <f t="shared" si="6"/>
        <v>10920</v>
      </c>
      <c r="G20" s="405"/>
      <c r="H20" s="404"/>
      <c r="I20" s="727"/>
      <c r="J20" s="535">
        <v>9.1999999999999998E-2</v>
      </c>
    </row>
    <row r="21" spans="1:10" ht="20.100000000000001" customHeight="1" x14ac:dyDescent="0.25">
      <c r="A21" s="431">
        <v>15</v>
      </c>
      <c r="B21" s="430">
        <f t="shared" si="4"/>
        <v>0.1</v>
      </c>
      <c r="C21" s="429">
        <f t="shared" si="7"/>
        <v>10000</v>
      </c>
      <c r="D21" s="429">
        <f t="shared" si="5"/>
        <v>1000</v>
      </c>
      <c r="E21" s="429">
        <f t="shared" si="6"/>
        <v>11000</v>
      </c>
      <c r="G21" s="405"/>
      <c r="H21" s="404"/>
      <c r="I21" s="727"/>
      <c r="J21" s="535">
        <v>0.1</v>
      </c>
    </row>
    <row r="22" spans="1:10" ht="20.100000000000001" customHeight="1" x14ac:dyDescent="0.25">
      <c r="A22" s="431">
        <v>16</v>
      </c>
      <c r="B22" s="430">
        <f t="shared" si="4"/>
        <v>0.108</v>
      </c>
      <c r="C22" s="429">
        <f t="shared" si="7"/>
        <v>10000</v>
      </c>
      <c r="D22" s="429">
        <f t="shared" si="5"/>
        <v>1080</v>
      </c>
      <c r="E22" s="429">
        <f t="shared" si="6"/>
        <v>11080</v>
      </c>
      <c r="G22" s="405"/>
      <c r="H22" s="404"/>
      <c r="I22" s="727"/>
      <c r="J22" s="535">
        <v>0.108</v>
      </c>
    </row>
    <row r="23" spans="1:10" ht="20.100000000000001" customHeight="1" x14ac:dyDescent="0.25">
      <c r="A23" s="431">
        <v>17</v>
      </c>
      <c r="B23" s="430">
        <f t="shared" si="4"/>
        <v>0.11599999999999999</v>
      </c>
      <c r="C23" s="429">
        <f t="shared" si="7"/>
        <v>10000</v>
      </c>
      <c r="D23" s="429">
        <f t="shared" si="5"/>
        <v>1160</v>
      </c>
      <c r="E23" s="429">
        <f t="shared" si="6"/>
        <v>11160</v>
      </c>
      <c r="G23" s="405"/>
      <c r="H23" s="404"/>
      <c r="I23" s="727"/>
      <c r="J23" s="535">
        <v>0.11599999999999999</v>
      </c>
    </row>
    <row r="24" spans="1:10" ht="20.100000000000001" customHeight="1" x14ac:dyDescent="0.25">
      <c r="A24" s="431">
        <v>18</v>
      </c>
      <c r="B24" s="430">
        <f t="shared" si="4"/>
        <v>0.124</v>
      </c>
      <c r="C24" s="429">
        <f t="shared" si="7"/>
        <v>10000</v>
      </c>
      <c r="D24" s="429">
        <f t="shared" si="5"/>
        <v>1240</v>
      </c>
      <c r="E24" s="429">
        <f t="shared" si="6"/>
        <v>11240</v>
      </c>
      <c r="G24" s="405"/>
      <c r="H24" s="404"/>
      <c r="I24" s="727"/>
      <c r="J24" s="535">
        <v>0.124</v>
      </c>
    </row>
    <row r="25" spans="1:10" ht="20.100000000000001" customHeight="1" x14ac:dyDescent="0.25">
      <c r="A25" s="431">
        <v>19</v>
      </c>
      <c r="B25" s="430">
        <f t="shared" si="4"/>
        <v>0.13200000000000001</v>
      </c>
      <c r="C25" s="429">
        <f t="shared" si="7"/>
        <v>10000</v>
      </c>
      <c r="D25" s="429">
        <f t="shared" si="5"/>
        <v>1320</v>
      </c>
      <c r="E25" s="429">
        <f t="shared" si="6"/>
        <v>11320</v>
      </c>
      <c r="G25" s="405"/>
      <c r="H25" s="404"/>
      <c r="I25" s="727"/>
      <c r="J25" s="535">
        <v>0.13200000000000001</v>
      </c>
    </row>
    <row r="26" spans="1:10" ht="20.100000000000001" customHeight="1" x14ac:dyDescent="0.25">
      <c r="A26" s="428">
        <v>20</v>
      </c>
      <c r="B26" s="427">
        <f t="shared" si="4"/>
        <v>0.14000000000000001</v>
      </c>
      <c r="C26" s="426">
        <f t="shared" si="7"/>
        <v>10000</v>
      </c>
      <c r="D26" s="426">
        <f t="shared" si="5"/>
        <v>1400.0000000000002</v>
      </c>
      <c r="E26" s="426">
        <f t="shared" si="6"/>
        <v>11400</v>
      </c>
      <c r="G26" s="425" t="s">
        <v>486</v>
      </c>
      <c r="H26" s="404"/>
      <c r="I26" s="728"/>
      <c r="J26" s="568">
        <v>0.14000000000000001</v>
      </c>
    </row>
    <row r="27" spans="1:10" ht="8.1" customHeight="1" x14ac:dyDescent="0.25">
      <c r="A27" s="424"/>
      <c r="B27" s="423"/>
      <c r="C27" s="422"/>
      <c r="D27" s="422"/>
      <c r="E27" s="422"/>
      <c r="G27" s="421"/>
      <c r="H27" s="404"/>
      <c r="I27" s="436"/>
      <c r="J27" s="435"/>
    </row>
    <row r="28" spans="1:10" ht="20.100000000000001" customHeight="1" x14ac:dyDescent="0.25">
      <c r="A28" s="434">
        <v>21</v>
      </c>
      <c r="B28" s="433">
        <f t="shared" si="4"/>
        <v>0.15000000000000002</v>
      </c>
      <c r="C28" s="432">
        <f>C26</f>
        <v>10000</v>
      </c>
      <c r="D28" s="432">
        <f t="shared" ref="D28:D37" si="8">C28*B28</f>
        <v>1500.0000000000002</v>
      </c>
      <c r="E28" s="432">
        <f t="shared" ref="E28:E37" si="9">C28+D28</f>
        <v>11500</v>
      </c>
      <c r="G28" s="415" t="s">
        <v>487</v>
      </c>
      <c r="H28" s="404"/>
      <c r="I28" s="726" t="s">
        <v>436</v>
      </c>
      <c r="J28" s="534">
        <v>0.15000000000000002</v>
      </c>
    </row>
    <row r="29" spans="1:10" ht="20.100000000000001" customHeight="1" x14ac:dyDescent="0.25">
      <c r="A29" s="431">
        <v>22</v>
      </c>
      <c r="B29" s="430">
        <f t="shared" si="4"/>
        <v>0.16</v>
      </c>
      <c r="C29" s="429">
        <f t="shared" ref="C29:C37" si="10">C28</f>
        <v>10000</v>
      </c>
      <c r="D29" s="429">
        <f t="shared" si="8"/>
        <v>1600</v>
      </c>
      <c r="E29" s="429">
        <f t="shared" si="9"/>
        <v>11600</v>
      </c>
      <c r="G29" s="405" t="s">
        <v>488</v>
      </c>
      <c r="H29" s="404"/>
      <c r="I29" s="727"/>
      <c r="J29" s="535">
        <v>0.16</v>
      </c>
    </row>
    <row r="30" spans="1:10" ht="20.100000000000001" customHeight="1" x14ac:dyDescent="0.25">
      <c r="A30" s="431">
        <v>23</v>
      </c>
      <c r="B30" s="430">
        <f t="shared" si="4"/>
        <v>0.17</v>
      </c>
      <c r="C30" s="429">
        <f t="shared" si="10"/>
        <v>10000</v>
      </c>
      <c r="D30" s="429">
        <f t="shared" si="8"/>
        <v>1700.0000000000002</v>
      </c>
      <c r="E30" s="429">
        <f t="shared" si="9"/>
        <v>11700</v>
      </c>
      <c r="G30" s="405"/>
      <c r="H30" s="404"/>
      <c r="I30" s="727"/>
      <c r="J30" s="535">
        <v>0.17</v>
      </c>
    </row>
    <row r="31" spans="1:10" ht="20.100000000000001" customHeight="1" x14ac:dyDescent="0.25">
      <c r="A31" s="431">
        <v>24</v>
      </c>
      <c r="B31" s="430">
        <f t="shared" si="4"/>
        <v>0.18000000000000002</v>
      </c>
      <c r="C31" s="429">
        <f t="shared" si="10"/>
        <v>10000</v>
      </c>
      <c r="D31" s="429">
        <f t="shared" si="8"/>
        <v>1800.0000000000002</v>
      </c>
      <c r="E31" s="429">
        <f t="shared" si="9"/>
        <v>11800</v>
      </c>
      <c r="G31" s="405"/>
      <c r="H31" s="404"/>
      <c r="I31" s="727"/>
      <c r="J31" s="535">
        <v>0.18000000000000002</v>
      </c>
    </row>
    <row r="32" spans="1:10" ht="20.100000000000001" customHeight="1" x14ac:dyDescent="0.25">
      <c r="A32" s="431">
        <v>25</v>
      </c>
      <c r="B32" s="430">
        <f t="shared" si="4"/>
        <v>0.19</v>
      </c>
      <c r="C32" s="429">
        <f t="shared" si="10"/>
        <v>10000</v>
      </c>
      <c r="D32" s="429">
        <f t="shared" si="8"/>
        <v>1900</v>
      </c>
      <c r="E32" s="429">
        <f t="shared" si="9"/>
        <v>11900</v>
      </c>
      <c r="G32" s="405"/>
      <c r="H32" s="404"/>
      <c r="I32" s="727"/>
      <c r="J32" s="535">
        <v>0.19</v>
      </c>
    </row>
    <row r="33" spans="1:10" ht="20.100000000000001" customHeight="1" x14ac:dyDescent="0.25">
      <c r="A33" s="431">
        <v>26</v>
      </c>
      <c r="B33" s="430">
        <f t="shared" si="4"/>
        <v>0.2</v>
      </c>
      <c r="C33" s="429">
        <f t="shared" si="10"/>
        <v>10000</v>
      </c>
      <c r="D33" s="429">
        <f t="shared" si="8"/>
        <v>2000</v>
      </c>
      <c r="E33" s="429">
        <f t="shared" si="9"/>
        <v>12000</v>
      </c>
      <c r="G33" s="405"/>
      <c r="H33" s="404"/>
      <c r="I33" s="727"/>
      <c r="J33" s="535">
        <v>0.2</v>
      </c>
    </row>
    <row r="34" spans="1:10" ht="20.100000000000001" customHeight="1" x14ac:dyDescent="0.25">
      <c r="A34" s="431">
        <v>27</v>
      </c>
      <c r="B34" s="430">
        <f t="shared" si="4"/>
        <v>0.21000000000000002</v>
      </c>
      <c r="C34" s="429">
        <f t="shared" si="10"/>
        <v>10000</v>
      </c>
      <c r="D34" s="429">
        <f t="shared" si="8"/>
        <v>2100</v>
      </c>
      <c r="E34" s="429">
        <f t="shared" si="9"/>
        <v>12100</v>
      </c>
      <c r="G34" s="405"/>
      <c r="H34" s="404"/>
      <c r="I34" s="727"/>
      <c r="J34" s="535">
        <v>0.21000000000000002</v>
      </c>
    </row>
    <row r="35" spans="1:10" ht="20.100000000000001" customHeight="1" x14ac:dyDescent="0.25">
      <c r="A35" s="431">
        <v>28</v>
      </c>
      <c r="B35" s="430">
        <f t="shared" si="4"/>
        <v>0.22000000000000003</v>
      </c>
      <c r="C35" s="429">
        <f t="shared" si="10"/>
        <v>10000</v>
      </c>
      <c r="D35" s="429">
        <f t="shared" si="8"/>
        <v>2200.0000000000005</v>
      </c>
      <c r="E35" s="429">
        <f t="shared" si="9"/>
        <v>12200</v>
      </c>
      <c r="G35" s="405"/>
      <c r="H35" s="404"/>
      <c r="I35" s="727"/>
      <c r="J35" s="535">
        <v>0.22000000000000003</v>
      </c>
    </row>
    <row r="36" spans="1:10" ht="20.100000000000001" customHeight="1" x14ac:dyDescent="0.25">
      <c r="A36" s="431">
        <v>29</v>
      </c>
      <c r="B36" s="430">
        <f t="shared" si="4"/>
        <v>0.23</v>
      </c>
      <c r="C36" s="429">
        <f t="shared" si="10"/>
        <v>10000</v>
      </c>
      <c r="D36" s="429">
        <f t="shared" si="8"/>
        <v>2300</v>
      </c>
      <c r="E36" s="429">
        <f t="shared" si="9"/>
        <v>12300</v>
      </c>
      <c r="G36" s="405"/>
      <c r="H36" s="404"/>
      <c r="I36" s="727"/>
      <c r="J36" s="535">
        <v>0.23</v>
      </c>
    </row>
    <row r="37" spans="1:10" ht="20.100000000000001" customHeight="1" x14ac:dyDescent="0.25">
      <c r="A37" s="428">
        <v>30</v>
      </c>
      <c r="B37" s="427">
        <f t="shared" si="4"/>
        <v>0.24000000000000002</v>
      </c>
      <c r="C37" s="426">
        <f t="shared" si="10"/>
        <v>10000</v>
      </c>
      <c r="D37" s="426">
        <f t="shared" si="8"/>
        <v>2400</v>
      </c>
      <c r="E37" s="426">
        <f t="shared" si="9"/>
        <v>12400</v>
      </c>
      <c r="G37" s="425" t="s">
        <v>489</v>
      </c>
      <c r="H37" s="404"/>
      <c r="I37" s="728"/>
      <c r="J37" s="568">
        <v>0.24000000000000002</v>
      </c>
    </row>
    <row r="38" spans="1:10" ht="8.1" customHeight="1" x14ac:dyDescent="0.25">
      <c r="A38" s="424"/>
      <c r="B38" s="423"/>
      <c r="C38" s="422"/>
      <c r="D38" s="422"/>
      <c r="E38" s="422"/>
      <c r="G38" s="421"/>
      <c r="H38" s="404"/>
      <c r="I38" s="420"/>
      <c r="J38" s="419"/>
    </row>
    <row r="39" spans="1:10" ht="20.100000000000001" customHeight="1" x14ac:dyDescent="0.25">
      <c r="A39" s="418">
        <v>31</v>
      </c>
      <c r="B39" s="417">
        <f t="shared" si="4"/>
        <v>0.24</v>
      </c>
      <c r="C39" s="416">
        <f>C37</f>
        <v>10000</v>
      </c>
      <c r="D39" s="416">
        <f t="shared" ref="D39:D53" si="11">C39*B39</f>
        <v>2400</v>
      </c>
      <c r="E39" s="416">
        <f t="shared" ref="E39:E53" si="12">C39+D39</f>
        <v>12400</v>
      </c>
      <c r="G39" s="415" t="s">
        <v>435</v>
      </c>
      <c r="H39" s="404"/>
      <c r="I39" s="414"/>
      <c r="J39" s="537">
        <v>0.24000000000000002</v>
      </c>
    </row>
    <row r="40" spans="1:10" ht="20.100000000000001" customHeight="1" x14ac:dyDescent="0.25">
      <c r="A40" s="413">
        <v>32</v>
      </c>
      <c r="B40" s="402">
        <f t="shared" si="4"/>
        <v>0.24</v>
      </c>
      <c r="C40" s="412">
        <f t="shared" ref="C40:C53" si="13">C39</f>
        <v>10000</v>
      </c>
      <c r="D40" s="412">
        <f t="shared" si="11"/>
        <v>2400</v>
      </c>
      <c r="E40" s="412">
        <f t="shared" si="12"/>
        <v>12400</v>
      </c>
      <c r="G40" s="405"/>
      <c r="H40" s="404"/>
      <c r="I40" s="403"/>
      <c r="J40" s="538">
        <v>0.24000000000000002</v>
      </c>
    </row>
    <row r="41" spans="1:10" ht="20.100000000000001" customHeight="1" x14ac:dyDescent="0.25">
      <c r="A41" s="413">
        <v>33</v>
      </c>
      <c r="B41" s="402">
        <f t="shared" si="4"/>
        <v>0.24</v>
      </c>
      <c r="C41" s="412">
        <f t="shared" si="13"/>
        <v>10000</v>
      </c>
      <c r="D41" s="412">
        <f t="shared" si="11"/>
        <v>2400</v>
      </c>
      <c r="E41" s="412">
        <f t="shared" si="12"/>
        <v>12400</v>
      </c>
      <c r="G41" s="405"/>
      <c r="H41" s="404"/>
      <c r="I41" s="403"/>
      <c r="J41" s="538">
        <v>0.24000000000000002</v>
      </c>
    </row>
    <row r="42" spans="1:10" ht="20.100000000000001" customHeight="1" x14ac:dyDescent="0.25">
      <c r="A42" s="413">
        <v>34</v>
      </c>
      <c r="B42" s="402">
        <f t="shared" si="4"/>
        <v>0.24</v>
      </c>
      <c r="C42" s="412">
        <f t="shared" si="13"/>
        <v>10000</v>
      </c>
      <c r="D42" s="412">
        <f t="shared" si="11"/>
        <v>2400</v>
      </c>
      <c r="E42" s="412">
        <f t="shared" si="12"/>
        <v>12400</v>
      </c>
      <c r="G42" s="405"/>
      <c r="H42" s="404"/>
      <c r="I42" s="403"/>
      <c r="J42" s="538">
        <v>0.24000000000000002</v>
      </c>
    </row>
    <row r="43" spans="1:10" ht="20.100000000000001" customHeight="1" x14ac:dyDescent="0.25">
      <c r="A43" s="413">
        <v>35</v>
      </c>
      <c r="B43" s="402">
        <f t="shared" si="4"/>
        <v>0.24</v>
      </c>
      <c r="C43" s="412">
        <f t="shared" si="13"/>
        <v>10000</v>
      </c>
      <c r="D43" s="412">
        <f t="shared" si="11"/>
        <v>2400</v>
      </c>
      <c r="E43" s="412">
        <f t="shared" si="12"/>
        <v>12400</v>
      </c>
      <c r="G43" s="405"/>
      <c r="H43" s="404"/>
      <c r="I43" s="403"/>
      <c r="J43" s="538">
        <v>0.24000000000000002</v>
      </c>
    </row>
    <row r="44" spans="1:10" ht="20.100000000000001" customHeight="1" x14ac:dyDescent="0.25">
      <c r="A44" s="411">
        <v>36</v>
      </c>
      <c r="B44" s="410">
        <f t="shared" si="4"/>
        <v>0.24</v>
      </c>
      <c r="C44" s="409">
        <f t="shared" si="13"/>
        <v>10000</v>
      </c>
      <c r="D44" s="409">
        <f t="shared" si="11"/>
        <v>2400</v>
      </c>
      <c r="E44" s="409">
        <f t="shared" si="12"/>
        <v>12400</v>
      </c>
      <c r="G44" s="405"/>
      <c r="H44" s="404"/>
      <c r="I44" s="403"/>
      <c r="J44" s="539">
        <v>0.24000000000000002</v>
      </c>
    </row>
    <row r="45" spans="1:10" ht="20.100000000000001" customHeight="1" x14ac:dyDescent="0.25">
      <c r="A45" s="411">
        <v>37</v>
      </c>
      <c r="B45" s="410">
        <f t="shared" si="4"/>
        <v>0.24</v>
      </c>
      <c r="C45" s="409">
        <f t="shared" si="13"/>
        <v>10000</v>
      </c>
      <c r="D45" s="409">
        <f t="shared" si="11"/>
        <v>2400</v>
      </c>
      <c r="E45" s="409">
        <f t="shared" si="12"/>
        <v>12400</v>
      </c>
      <c r="G45" s="405"/>
      <c r="H45" s="404"/>
      <c r="I45" s="403"/>
      <c r="J45" s="539">
        <v>0.24000000000000002</v>
      </c>
    </row>
    <row r="46" spans="1:10" ht="20.100000000000001" customHeight="1" x14ac:dyDescent="0.25">
      <c r="A46" s="411">
        <v>38</v>
      </c>
      <c r="B46" s="410">
        <f t="shared" si="4"/>
        <v>0.24</v>
      </c>
      <c r="C46" s="409">
        <f t="shared" si="13"/>
        <v>10000</v>
      </c>
      <c r="D46" s="409">
        <f t="shared" si="11"/>
        <v>2400</v>
      </c>
      <c r="E46" s="409">
        <f t="shared" si="12"/>
        <v>12400</v>
      </c>
      <c r="G46" s="405"/>
      <c r="H46" s="404"/>
      <c r="I46" s="403"/>
      <c r="J46" s="539">
        <v>0.24000000000000002</v>
      </c>
    </row>
    <row r="47" spans="1:10" ht="20.100000000000001" customHeight="1" x14ac:dyDescent="0.25">
      <c r="A47" s="411">
        <v>39</v>
      </c>
      <c r="B47" s="410">
        <f t="shared" si="4"/>
        <v>0.24</v>
      </c>
      <c r="C47" s="409">
        <f t="shared" si="13"/>
        <v>10000</v>
      </c>
      <c r="D47" s="409">
        <f t="shared" si="11"/>
        <v>2400</v>
      </c>
      <c r="E47" s="409">
        <f t="shared" si="12"/>
        <v>12400</v>
      </c>
      <c r="G47" s="405"/>
      <c r="H47" s="404"/>
      <c r="I47" s="403"/>
      <c r="J47" s="539">
        <v>0.24000000000000002</v>
      </c>
    </row>
    <row r="48" spans="1:10" ht="20.100000000000001" customHeight="1" x14ac:dyDescent="0.25">
      <c r="A48" s="411">
        <v>40</v>
      </c>
      <c r="B48" s="410">
        <f t="shared" si="4"/>
        <v>0.24</v>
      </c>
      <c r="C48" s="409">
        <f t="shared" si="13"/>
        <v>10000</v>
      </c>
      <c r="D48" s="409">
        <f t="shared" si="11"/>
        <v>2400</v>
      </c>
      <c r="E48" s="409">
        <f t="shared" si="12"/>
        <v>12400</v>
      </c>
      <c r="G48" s="405"/>
      <c r="H48" s="404"/>
      <c r="I48" s="403"/>
      <c r="J48" s="539">
        <v>0.24000000000000002</v>
      </c>
    </row>
    <row r="49" spans="1:10" ht="20.100000000000001" customHeight="1" x14ac:dyDescent="0.25">
      <c r="A49" s="408">
        <v>41</v>
      </c>
      <c r="B49" s="407">
        <f t="shared" si="4"/>
        <v>0.24</v>
      </c>
      <c r="C49" s="406">
        <f t="shared" si="13"/>
        <v>10000</v>
      </c>
      <c r="D49" s="406">
        <f t="shared" si="11"/>
        <v>2400</v>
      </c>
      <c r="E49" s="406">
        <f t="shared" si="12"/>
        <v>12400</v>
      </c>
      <c r="G49" s="405"/>
      <c r="H49" s="404"/>
      <c r="I49" s="403"/>
      <c r="J49" s="540">
        <v>0.24000000000000002</v>
      </c>
    </row>
    <row r="50" spans="1:10" ht="20.100000000000001" customHeight="1" x14ac:dyDescent="0.25">
      <c r="A50" s="408">
        <v>42</v>
      </c>
      <c r="B50" s="407">
        <f t="shared" si="4"/>
        <v>0.24</v>
      </c>
      <c r="C50" s="406">
        <f t="shared" si="13"/>
        <v>10000</v>
      </c>
      <c r="D50" s="406">
        <f t="shared" si="11"/>
        <v>2400</v>
      </c>
      <c r="E50" s="406">
        <f t="shared" si="12"/>
        <v>12400</v>
      </c>
      <c r="G50" s="405"/>
      <c r="H50" s="404"/>
      <c r="I50" s="403"/>
      <c r="J50" s="540">
        <v>0.24000000000000002</v>
      </c>
    </row>
    <row r="51" spans="1:10" ht="20.100000000000001" customHeight="1" x14ac:dyDescent="0.25">
      <c r="A51" s="408">
        <v>43</v>
      </c>
      <c r="B51" s="407">
        <f t="shared" si="4"/>
        <v>0.24</v>
      </c>
      <c r="C51" s="406">
        <f t="shared" si="13"/>
        <v>10000</v>
      </c>
      <c r="D51" s="406">
        <f t="shared" si="11"/>
        <v>2400</v>
      </c>
      <c r="E51" s="406">
        <f t="shared" si="12"/>
        <v>12400</v>
      </c>
      <c r="G51" s="405"/>
      <c r="H51" s="404"/>
      <c r="I51" s="403"/>
      <c r="J51" s="540">
        <v>0.24000000000000002</v>
      </c>
    </row>
    <row r="52" spans="1:10" ht="20.100000000000001" customHeight="1" x14ac:dyDescent="0.25">
      <c r="A52" s="408">
        <v>44</v>
      </c>
      <c r="B52" s="407">
        <f t="shared" si="4"/>
        <v>0.24</v>
      </c>
      <c r="C52" s="406">
        <f t="shared" si="13"/>
        <v>10000</v>
      </c>
      <c r="D52" s="406">
        <f t="shared" si="11"/>
        <v>2400</v>
      </c>
      <c r="E52" s="406">
        <f t="shared" si="12"/>
        <v>12400</v>
      </c>
      <c r="G52" s="405"/>
      <c r="H52" s="404"/>
      <c r="I52" s="403"/>
      <c r="J52" s="540">
        <v>0.24000000000000002</v>
      </c>
    </row>
    <row r="53" spans="1:10" ht="20.100000000000001" customHeight="1" x14ac:dyDescent="0.25">
      <c r="A53" s="408">
        <v>45</v>
      </c>
      <c r="B53" s="407">
        <f t="shared" si="4"/>
        <v>0.24</v>
      </c>
      <c r="C53" s="406">
        <f t="shared" si="13"/>
        <v>10000</v>
      </c>
      <c r="D53" s="406">
        <f t="shared" si="11"/>
        <v>2400</v>
      </c>
      <c r="E53" s="406">
        <f t="shared" si="12"/>
        <v>12400</v>
      </c>
      <c r="G53" s="405"/>
      <c r="H53" s="404"/>
      <c r="I53" s="403"/>
      <c r="J53" s="540">
        <v>0.24000000000000002</v>
      </c>
    </row>
    <row r="54" spans="1:10" ht="15.75" x14ac:dyDescent="0.25">
      <c r="I54" s="403"/>
    </row>
    <row r="55" spans="1:10" ht="15.75" x14ac:dyDescent="0.25">
      <c r="I55" s="403"/>
    </row>
    <row r="56" spans="1:10" ht="15.75" x14ac:dyDescent="0.25">
      <c r="I56" s="403"/>
    </row>
    <row r="80" spans="2:2" x14ac:dyDescent="0.25">
      <c r="B80" s="402">
        <f>IF(A80&lt;=10,A80*1%,IF(A80&lt;=20,10*1%+(A80-10)*0.5%,IF(A80&lt;=30,10*1%+10*0.5%+(A80-20)*0.25%,10*1%+10*0.5%+10*0.25%)))</f>
        <v>0</v>
      </c>
    </row>
  </sheetData>
  <mergeCells count="7">
    <mergeCell ref="A1:E1"/>
    <mergeCell ref="I6:I15"/>
    <mergeCell ref="I17:I26"/>
    <mergeCell ref="I28:I37"/>
    <mergeCell ref="A2:E2"/>
    <mergeCell ref="G1:G2"/>
    <mergeCell ref="I1:J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23</vt:i4>
      </vt:variant>
    </vt:vector>
  </HeadingPairs>
  <TitlesOfParts>
    <vt:vector size="32" baseType="lpstr">
      <vt:lpstr>Sqarime</vt:lpstr>
      <vt:lpstr>Ne.Organike</vt:lpstr>
      <vt:lpstr>Mbi.Organike</vt:lpstr>
      <vt:lpstr>Liste Pagesa</vt:lpstr>
      <vt:lpstr>INFO_pagat</vt:lpstr>
      <vt:lpstr>definicione</vt:lpstr>
      <vt:lpstr>Skemat e Pagave</vt:lpstr>
      <vt:lpstr># tatimet</vt:lpstr>
      <vt:lpstr># vjetersia</vt:lpstr>
      <vt:lpstr>Mbi.Organike!banka_mbi_organike</vt:lpstr>
      <vt:lpstr>banka_ne_organike</vt:lpstr>
      <vt:lpstr>Mbi.Organike!emer_mbiemer</vt:lpstr>
      <vt:lpstr>emer_mbiemer</vt:lpstr>
      <vt:lpstr>Info_per_Bankat</vt:lpstr>
      <vt:lpstr>lista_e_bankave</vt:lpstr>
      <vt:lpstr>llog_mbi_organike</vt:lpstr>
      <vt:lpstr>llog_organike</vt:lpstr>
      <vt:lpstr>max_s_shoqeror</vt:lpstr>
      <vt:lpstr>min_s_shoqeror</vt:lpstr>
      <vt:lpstr>paga_200mije</vt:lpstr>
      <vt:lpstr>paga_30mije</vt:lpstr>
      <vt:lpstr>paga_35mije</vt:lpstr>
      <vt:lpstr>paga_50mije</vt:lpstr>
      <vt:lpstr>paga_60mije</vt:lpstr>
      <vt:lpstr>paga_e_presidentit</vt:lpstr>
      <vt:lpstr>raport_mjekesor</vt:lpstr>
      <vt:lpstr>s_shendetsor</vt:lpstr>
      <vt:lpstr>s_shoqeror</vt:lpstr>
      <vt:lpstr>tatimi_13</vt:lpstr>
      <vt:lpstr>tatimi_23</vt:lpstr>
      <vt:lpstr>tatimi_6.5</vt:lpstr>
      <vt:lpstr>tatimi_fiks_deri200mije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2023-04-20T10:21:17Z</dcterms:created>
  <dcterms:modified xsi:type="dcterms:W3CDTF">2024-07-29T13:59:14Z</dcterms:modified>
</cp:coreProperties>
</file>